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shtd-my.sharepoint.com/personal/latisha_reynolds_ardot_gov/Documents/Documents/Awesome Asphalt 2024/Test reports/"/>
    </mc:Choice>
  </mc:AlternateContent>
  <xr:revisionPtr revIDLastSave="0" documentId="8_{6F1FDA7C-B064-4699-A5CD-B7C7842B04E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E84B32E3-DA83-439C-BC20-02D1B54DC7A8}"/>
  </bookViews>
  <sheets>
    <sheet name="Contractor" sheetId="1" r:id="rId1"/>
  </sheets>
  <definedNames>
    <definedName name="_xlnm.Print_Area" localSheetId="0">Contractor!$B$2:$AE$86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1" l="1"/>
  <c r="Z63" i="1"/>
  <c r="W63" i="1"/>
  <c r="T63" i="1"/>
  <c r="K63" i="1"/>
  <c r="F64" i="1"/>
  <c r="F63" i="1"/>
  <c r="M62" i="1"/>
  <c r="L53" i="1"/>
  <c r="AA33" i="1"/>
  <c r="W33" i="1"/>
  <c r="AA32" i="1"/>
  <c r="W32" i="1"/>
  <c r="L29" i="1"/>
  <c r="AG21" i="1"/>
  <c r="AF21" i="1"/>
  <c r="M124" i="1"/>
  <c r="L54" i="1"/>
  <c r="L55" i="1" s="1"/>
  <c r="AA34" i="1" l="1"/>
  <c r="T79" i="1"/>
  <c r="O80" i="1" s="1"/>
  <c r="L24" i="1" l="1"/>
  <c r="Z60" i="1"/>
  <c r="CB30" i="1"/>
  <c r="CA30" i="1"/>
  <c r="CB29" i="1"/>
  <c r="CA29" i="1"/>
  <c r="CB28" i="1"/>
  <c r="CA28" i="1"/>
  <c r="CB27" i="1"/>
  <c r="CA27" i="1"/>
  <c r="CB26" i="1"/>
  <c r="CA26" i="1"/>
  <c r="CB25" i="1"/>
  <c r="CA25" i="1"/>
  <c r="CB24" i="1"/>
  <c r="CA24" i="1"/>
  <c r="CB23" i="1"/>
  <c r="CA23" i="1"/>
  <c r="CB22" i="1"/>
  <c r="CA22" i="1"/>
  <c r="CB21" i="1"/>
  <c r="CA21" i="1"/>
  <c r="CB20" i="1"/>
  <c r="CA20" i="1"/>
  <c r="AA18" i="1"/>
  <c r="AG22" i="1" s="1"/>
  <c r="AA21" i="1" s="1"/>
  <c r="W18" i="1"/>
  <c r="M125" i="1" l="1"/>
  <c r="AF22" i="1"/>
  <c r="W21" i="1"/>
  <c r="AA22" i="1" s="1"/>
  <c r="L30" i="1"/>
  <c r="I55" i="1" l="1"/>
  <c r="I41" i="1"/>
  <c r="L38" i="1"/>
  <c r="L37" i="1" s="1"/>
  <c r="AJ42" i="1" s="1"/>
  <c r="AJ43" i="1" s="1"/>
  <c r="O75" i="1"/>
  <c r="O82" i="1" s="1"/>
  <c r="BY40" i="1"/>
  <c r="L46" i="1"/>
  <c r="CA34" i="1"/>
  <c r="V38" i="1" s="1"/>
  <c r="V49" i="1" l="1"/>
  <c r="AB49" i="1" s="1"/>
  <c r="V54" i="1"/>
  <c r="V55" i="1" s="1"/>
  <c r="L39" i="1"/>
  <c r="I40" i="1" s="1"/>
  <c r="AJ41" i="1" s="1"/>
  <c r="V50" i="1"/>
  <c r="AB50" i="1" s="1"/>
  <c r="V53" i="1"/>
  <c r="AB53" i="1" s="1"/>
  <c r="V45" i="1"/>
  <c r="AB45" i="1" s="1"/>
  <c r="V48" i="1"/>
  <c r="AB48" i="1" s="1"/>
  <c r="V52" i="1"/>
  <c r="AB52" i="1" s="1"/>
  <c r="V42" i="1"/>
  <c r="V47" i="1"/>
  <c r="V43" i="1"/>
  <c r="V46" i="1"/>
  <c r="AB46" i="1" s="1"/>
  <c r="V51" i="1"/>
  <c r="AB51" i="1" s="1"/>
  <c r="V44" i="1"/>
  <c r="AB44" i="1" s="1"/>
</calcChain>
</file>

<file path=xl/sharedStrings.xml><?xml version="1.0" encoding="utf-8"?>
<sst xmlns="http://schemas.openxmlformats.org/spreadsheetml/2006/main" count="194" uniqueCount="144">
  <si>
    <t>Testing Firm Name</t>
  </si>
  <si>
    <t>Sublot Acceptance Test</t>
  </si>
  <si>
    <t>Address, City, State</t>
  </si>
  <si>
    <t>CTTP Laboratory Number</t>
  </si>
  <si>
    <t>Passes:</t>
  </si>
  <si>
    <t>Quantity Represented</t>
  </si>
  <si>
    <t xml:space="preserve"> Tons</t>
  </si>
  <si>
    <t>SAMPLE INFORMATION</t>
  </si>
  <si>
    <t xml:space="preserve">Asphalt Plant  </t>
  </si>
  <si>
    <t>Job Number</t>
  </si>
  <si>
    <t>Mix Type</t>
  </si>
  <si>
    <t xml:space="preserve">Lot No. </t>
  </si>
  <si>
    <t xml:space="preserve">In Sublot </t>
  </si>
  <si>
    <t xml:space="preserve">Date </t>
  </si>
  <si>
    <t>Mix Number</t>
  </si>
  <si>
    <t xml:space="preserve">Truck No. Sampled </t>
  </si>
  <si>
    <t xml:space="preserve">Tons Today at sample </t>
  </si>
  <si>
    <t xml:space="preserve">Tons To Date at sample </t>
  </si>
  <si>
    <t xml:space="preserve">   ASPHALT BINDER CONTENT</t>
  </si>
  <si>
    <t>MAXIMUM THEORETICAL DENSITY- AASHTO T 209</t>
  </si>
  <si>
    <t>Signature</t>
  </si>
  <si>
    <t/>
  </si>
  <si>
    <t>Technician's Title</t>
  </si>
  <si>
    <t>CTTP  #</t>
  </si>
  <si>
    <t>NUCLEAR METHOD  AHTD 449 / 449A</t>
  </si>
  <si>
    <t>Rice 1</t>
  </si>
  <si>
    <t>Rice 2</t>
  </si>
  <si>
    <t>Sample weight (grams)</t>
  </si>
  <si>
    <t>Wt. of bucket in air</t>
  </si>
  <si>
    <t>Background</t>
  </si>
  <si>
    <t>Wt. of bucket + sample</t>
  </si>
  <si>
    <t>Counts</t>
  </si>
  <si>
    <t>Wt. of sample</t>
  </si>
  <si>
    <t>AC</t>
  </si>
  <si>
    <t>AV</t>
  </si>
  <si>
    <t>VMA</t>
  </si>
  <si>
    <t>Density</t>
  </si>
  <si>
    <t>Fines to Asphalt</t>
  </si>
  <si>
    <t>Gauge Percent Binder (Pb)</t>
  </si>
  <si>
    <t>Wt. of bucket + sample in water</t>
  </si>
  <si>
    <t xml:space="preserve">Max </t>
  </si>
  <si>
    <t>Min</t>
  </si>
  <si>
    <t xml:space="preserve">IGNITION OVEN - AASHTO T 308   </t>
  </si>
  <si>
    <t>Weight of bucket in water</t>
  </si>
  <si>
    <t>37.5 mm Base Course</t>
  </si>
  <si>
    <t>Gmm = Maximum Specific Gravity</t>
  </si>
  <si>
    <t>25 mm Binder Course</t>
  </si>
  <si>
    <t>Agg. Correction Factor (ACF)</t>
  </si>
  <si>
    <t>12.5 mm Surface Course</t>
  </si>
  <si>
    <t>12.5 mm SP Surface Course</t>
  </si>
  <si>
    <t>BULK SPECIFIC GRAVITY - AASHTO T 166</t>
  </si>
  <si>
    <t>12.5 mm BMD Surface Course</t>
  </si>
  <si>
    <t>n/a</t>
  </si>
  <si>
    <t>MOISTURE CORRECTION - Nuclear or Ignition Oven</t>
  </si>
  <si>
    <t>9.5 mm Surface Course</t>
  </si>
  <si>
    <t>Weight of pan</t>
  </si>
  <si>
    <t>9.5 mm SP Surface Course</t>
  </si>
  <si>
    <t>Weight of sample + pan</t>
  </si>
  <si>
    <t>Molding Temperature</t>
  </si>
  <si>
    <t>9.5 mm BMD Surface Course</t>
  </si>
  <si>
    <t>Dry weight of sample + pan</t>
  </si>
  <si>
    <t>Bulk 1</t>
  </si>
  <si>
    <t>Bulk 2</t>
  </si>
  <si>
    <t>UTBWC No. 4 Type A</t>
  </si>
  <si>
    <t>Moisture percent</t>
  </si>
  <si>
    <t>Weight of sample in air</t>
  </si>
  <si>
    <t>UTBWC 3/8" Type B</t>
  </si>
  <si>
    <t>REPORTED ASPHALT BINDER PERCENT</t>
  </si>
  <si>
    <t>Weight of sample in water</t>
  </si>
  <si>
    <t>UTBWC 1/2" Type C</t>
  </si>
  <si>
    <t>Weight of surface dry sample</t>
  </si>
  <si>
    <t xml:space="preserve">  VOLUMETRIC PROPERTIES - AASHTO T269, AHTD 464</t>
  </si>
  <si>
    <t>Percent Water Absorbed</t>
  </si>
  <si>
    <t>Binder Specific Gravity from</t>
  </si>
  <si>
    <t>Gmb = Bulk Specific Gravity</t>
  </si>
  <si>
    <t>Gb = Binder Specific Gravity</t>
  </si>
  <si>
    <t>AVERAGE BULK SPECIFIC GRAVITY (Gmb)</t>
  </si>
  <si>
    <t>SUBLOT %BINDER</t>
  </si>
  <si>
    <t>VMA Correction Factor</t>
  </si>
  <si>
    <t>AGGREGATE GRADATION - AASHTO T30</t>
  </si>
  <si>
    <t>(C) = Gse (Calculated)</t>
  </si>
  <si>
    <t>Weight Before Washing</t>
  </si>
  <si>
    <t>Method Used</t>
  </si>
  <si>
    <t>(D) = Ps = Percent aggregate in mix</t>
  </si>
  <si>
    <t>Aggregate Weight</t>
  </si>
  <si>
    <t xml:space="preserve">Solvent </t>
  </si>
  <si>
    <t>VMA effective = 100 - (B X D / C)</t>
  </si>
  <si>
    <t>Washed Weight</t>
  </si>
  <si>
    <t xml:space="preserve">Ignition Oven </t>
  </si>
  <si>
    <t>VMA ACTUAL</t>
  </si>
  <si>
    <t>(Va) AIR VOIDS (PERCENT)</t>
  </si>
  <si>
    <t>Sieve Size</t>
  </si>
  <si>
    <t>Wt. Retained</t>
  </si>
  <si>
    <t>% Pass</t>
  </si>
  <si>
    <t>Job Mix</t>
  </si>
  <si>
    <t>Tolerance</t>
  </si>
  <si>
    <t>Complies</t>
  </si>
  <si>
    <t>2"</t>
  </si>
  <si>
    <t xml:space="preserve">  FIELD DENSITY - AASHTO T 166</t>
  </si>
  <si>
    <t>1-1/2"</t>
  </si>
  <si>
    <t>1"</t>
  </si>
  <si>
    <t>3/4"</t>
  </si>
  <si>
    <t>1/2"</t>
  </si>
  <si>
    <t>STATION</t>
  </si>
  <si>
    <t>Type</t>
  </si>
  <si>
    <t>3/8"</t>
  </si>
  <si>
    <t>LOCATION</t>
  </si>
  <si>
    <t>#4</t>
  </si>
  <si>
    <t>Thickness (inches)</t>
  </si>
  <si>
    <t>#8</t>
  </si>
  <si>
    <t>(A) = Weight of sample in air</t>
  </si>
  <si>
    <t>#16</t>
  </si>
  <si>
    <t>(B) = Weight in water</t>
  </si>
  <si>
    <t>#30</t>
  </si>
  <si>
    <t>(C) = Weight SSD</t>
  </si>
  <si>
    <t>#50</t>
  </si>
  <si>
    <t>Gmb = Bulk Specific Gravity of core</t>
  </si>
  <si>
    <t>#100</t>
  </si>
  <si>
    <t>Water Absorbed percent</t>
  </si>
  <si>
    <t>#200</t>
  </si>
  <si>
    <t>% COMPACTION OF CORE</t>
  </si>
  <si>
    <t>Fines to Asphalt Ratio</t>
  </si>
  <si>
    <t>Arkansas Department of Transportation</t>
  </si>
  <si>
    <t>Page 2 of 2</t>
  </si>
  <si>
    <t xml:space="preserve">  FIELD DENSITY FOR PARAFFIN COATED - AASHTO T 166</t>
  </si>
  <si>
    <t>Gmm for Density Core</t>
  </si>
  <si>
    <t>(D)=Weight of sample in air + parraffin coating in air</t>
  </si>
  <si>
    <t>(E)=Weight of sample + parraffin coating in water</t>
  </si>
  <si>
    <t>(F)=Specific Gravity of the paraffin</t>
  </si>
  <si>
    <t>Mix Design</t>
  </si>
  <si>
    <t>Yes</t>
  </si>
  <si>
    <t>Normal</t>
  </si>
  <si>
    <t>Ticket</t>
  </si>
  <si>
    <t>NO</t>
  </si>
  <si>
    <t>90% Min.</t>
  </si>
  <si>
    <t>Leveling</t>
  </si>
  <si>
    <t>Percent Binder (Pb) - ACF</t>
  </si>
  <si>
    <t xml:space="preserve">AVERAGE MAXIMUM SPECIFIC GRAVITY (Gmm) </t>
  </si>
  <si>
    <t>Gsb = Agg. Bulk Specific Gravity (Mix Design)</t>
  </si>
  <si>
    <t>Version 5/25/24</t>
  </si>
  <si>
    <t>VFA</t>
  </si>
  <si>
    <t>Pba</t>
  </si>
  <si>
    <t>Pbe</t>
  </si>
  <si>
    <t>Verify mix design tolerance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</si>
</sst>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yy;@"/>
    <numFmt numFmtId="165" formatCode="0.0"/>
    <numFmt numFmtId="166" formatCode="0.000"/>
    <numFmt numFmtId="167" formatCode="0\°"/>
    <numFmt numFmtId="171" formatCode="0.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sz val="8"/>
      <color theme="1"/>
      <name val="Calibri"/>
      <family val="2"/>
      <scheme val="minor"/>
    </font>
    <font>
      <b/>
      <sz val="10"/>
      <color theme="1"/>
      <name val="Cambria"/>
      <family val="1"/>
    </font>
    <font>
      <sz val="9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b/>
      <u/>
      <sz val="9"/>
      <name val="Cambria"/>
      <family val="1"/>
    </font>
    <font>
      <sz val="10"/>
      <color theme="1"/>
      <name val="Arial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4"/>
      <name val="Cambria"/>
      <family val="1"/>
    </font>
    <font>
      <b/>
      <sz val="11"/>
      <color theme="1"/>
      <name val="Cambria"/>
      <family val="1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38">
    <xf numFmtId="0" fontId="0" fillId="0" borderId="0" xfId="0"/>
    <xf numFmtId="0" fontId="4" fillId="2" borderId="0" xfId="2" applyFont="1" applyFill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10" fillId="0" borderId="0" xfId="0" applyFont="1"/>
    <xf numFmtId="0" fontId="8" fillId="2" borderId="0" xfId="2" applyFont="1" applyFill="1" applyAlignment="1">
      <alignment horizontal="left"/>
    </xf>
    <xf numFmtId="0" fontId="8" fillId="2" borderId="0" xfId="2" applyFont="1" applyFill="1" applyAlignment="1">
      <alignment horizontal="right"/>
    </xf>
    <xf numFmtId="0" fontId="8" fillId="2" borderId="0" xfId="2" applyFont="1" applyFill="1" applyAlignment="1">
      <alignment horizontal="center"/>
    </xf>
    <xf numFmtId="0" fontId="11" fillId="2" borderId="0" xfId="2" applyFont="1" applyFill="1"/>
    <xf numFmtId="0" fontId="8" fillId="2" borderId="0" xfId="2" applyFont="1" applyFill="1" applyAlignment="1">
      <alignment horizontal="left" vertical="center" indent="1"/>
    </xf>
    <xf numFmtId="0" fontId="8" fillId="2" borderId="0" xfId="2" applyFont="1" applyFill="1" applyAlignment="1">
      <alignment horizontal="left" vertical="center"/>
    </xf>
    <xf numFmtId="0" fontId="12" fillId="2" borderId="0" xfId="2" applyFont="1" applyFill="1" applyAlignment="1">
      <alignment horizontal="right"/>
    </xf>
    <xf numFmtId="0" fontId="13" fillId="3" borderId="1" xfId="2" applyFont="1" applyFill="1" applyBorder="1" applyAlignment="1" applyProtection="1">
      <alignment horizontal="center"/>
      <protection locked="0"/>
    </xf>
    <xf numFmtId="0" fontId="11" fillId="2" borderId="0" xfId="2" applyFont="1" applyFill="1" applyAlignment="1">
      <alignment horizontal="left" indent="1"/>
    </xf>
    <xf numFmtId="0" fontId="11" fillId="2" borderId="0" xfId="2" applyFont="1" applyFill="1" applyAlignment="1">
      <alignment horizontal="right"/>
    </xf>
    <xf numFmtId="0" fontId="13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1" fillId="2" borderId="0" xfId="2" applyFont="1" applyFill="1" applyAlignment="1">
      <alignment vertical="top"/>
    </xf>
    <xf numFmtId="0" fontId="11" fillId="2" borderId="0" xfId="2" applyFont="1" applyFill="1" applyAlignment="1">
      <alignment horizontal="left" vertical="top"/>
    </xf>
    <xf numFmtId="0" fontId="11" fillId="2" borderId="1" xfId="2" applyFont="1" applyFill="1" applyBorder="1" applyAlignment="1">
      <alignment horizontal="left" vertical="top"/>
    </xf>
    <xf numFmtId="0" fontId="11" fillId="2" borderId="1" xfId="2" applyFont="1" applyFill="1" applyBorder="1" applyAlignment="1">
      <alignment horizontal="right" vertical="top"/>
    </xf>
    <xf numFmtId="0" fontId="11" fillId="2" borderId="0" xfId="2" applyFont="1" applyFill="1" applyAlignment="1">
      <alignment horizontal="center" vertical="top"/>
    </xf>
    <xf numFmtId="0" fontId="11" fillId="2" borderId="1" xfId="2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13" fillId="2" borderId="0" xfId="2" applyFont="1" applyFill="1" applyAlignment="1">
      <alignment horizontal="left" vertical="top"/>
    </xf>
    <xf numFmtId="165" fontId="0" fillId="0" borderId="0" xfId="0" applyNumberFormat="1"/>
    <xf numFmtId="0" fontId="17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8" fillId="2" borderId="0" xfId="2" applyFont="1" applyFill="1" applyAlignment="1">
      <alignment horizontal="left" vertical="top"/>
    </xf>
    <xf numFmtId="0" fontId="17" fillId="0" borderId="5" xfId="0" applyFont="1" applyBorder="1"/>
    <xf numFmtId="0" fontId="6" fillId="0" borderId="5" xfId="0" applyFont="1" applyBorder="1"/>
    <xf numFmtId="0" fontId="4" fillId="2" borderId="0" xfId="2" applyFont="1" applyFill="1" applyAlignment="1">
      <alignment vertical="top"/>
    </xf>
    <xf numFmtId="0" fontId="5" fillId="0" borderId="0" xfId="0" applyFont="1"/>
    <xf numFmtId="0" fontId="19" fillId="2" borderId="0" xfId="2" applyFont="1" applyFill="1"/>
    <xf numFmtId="0" fontId="7" fillId="0" borderId="0" xfId="0" applyFont="1" applyAlignment="1">
      <alignment horizontal="left"/>
    </xf>
    <xf numFmtId="0" fontId="8" fillId="2" borderId="0" xfId="2" applyFont="1" applyFill="1"/>
    <xf numFmtId="0" fontId="20" fillId="0" borderId="0" xfId="0" applyFont="1"/>
    <xf numFmtId="0" fontId="8" fillId="0" borderId="1" xfId="2" applyFont="1" applyBorder="1" applyAlignment="1">
      <alignment horizontal="center"/>
    </xf>
    <xf numFmtId="0" fontId="11" fillId="2" borderId="0" xfId="2" applyFont="1" applyFill="1" applyAlignment="1">
      <alignment horizontal="left"/>
    </xf>
    <xf numFmtId="12" fontId="11" fillId="0" borderId="0" xfId="2" applyNumberFormat="1" applyFont="1" applyAlignment="1">
      <alignment horizontal="center" vertical="top"/>
    </xf>
    <xf numFmtId="0" fontId="11" fillId="2" borderId="0" xfId="2" applyFont="1" applyFill="1" applyAlignment="1">
      <alignment horizontal="right" vertical="top"/>
    </xf>
    <xf numFmtId="10" fontId="11" fillId="2" borderId="0" xfId="1" applyNumberFormat="1" applyFont="1" applyFill="1" applyBorder="1" applyAlignment="1">
      <alignment horizontal="center" vertical="top"/>
    </xf>
    <xf numFmtId="166" fontId="0" fillId="0" borderId="0" xfId="0" applyNumberFormat="1"/>
    <xf numFmtId="0" fontId="22" fillId="0" borderId="0" xfId="0" applyFont="1"/>
    <xf numFmtId="165" fontId="22" fillId="0" borderId="0" xfId="0" applyNumberFormat="1" applyFont="1"/>
    <xf numFmtId="0" fontId="0" fillId="0" borderId="1" xfId="0" applyBorder="1"/>
    <xf numFmtId="0" fontId="13" fillId="0" borderId="1" xfId="2" applyFont="1" applyBorder="1" applyAlignment="1" applyProtection="1">
      <alignment horizontal="center"/>
      <protection locked="0"/>
    </xf>
    <xf numFmtId="0" fontId="8" fillId="0" borderId="1" xfId="2" applyFont="1" applyBorder="1" applyAlignment="1" applyProtection="1">
      <alignment horizontal="center"/>
      <protection locked="0"/>
    </xf>
    <xf numFmtId="0" fontId="13" fillId="0" borderId="2" xfId="2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4" fontId="13" fillId="0" borderId="2" xfId="2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2" borderId="0" xfId="2" applyFont="1" applyFill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8" fillId="3" borderId="1" xfId="2" applyFont="1" applyFill="1" applyBorder="1" applyAlignment="1" applyProtection="1">
      <alignment horizontal="center"/>
      <protection locked="0"/>
    </xf>
    <xf numFmtId="0" fontId="13" fillId="3" borderId="1" xfId="2" applyFont="1" applyFill="1" applyBorder="1" applyAlignment="1" applyProtection="1">
      <alignment horizontal="center"/>
      <protection locked="0"/>
    </xf>
    <xf numFmtId="3" fontId="13" fillId="3" borderId="1" xfId="2" applyNumberFormat="1" applyFont="1" applyFill="1" applyBorder="1" applyAlignment="1" applyProtection="1">
      <alignment horizontal="center"/>
      <protection locked="0"/>
    </xf>
    <xf numFmtId="0" fontId="11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 vertical="top"/>
    </xf>
    <xf numFmtId="0" fontId="14" fillId="2" borderId="1" xfId="2" applyFont="1" applyFill="1" applyBorder="1" applyAlignment="1" applyProtection="1">
      <alignment horizontal="right" vertical="top"/>
      <protection locked="0"/>
    </xf>
    <xf numFmtId="0" fontId="11" fillId="2" borderId="0" xfId="2" applyFont="1" applyFill="1" applyAlignment="1">
      <alignment horizontal="left" indent="1"/>
    </xf>
    <xf numFmtId="0" fontId="11" fillId="2" borderId="0" xfId="2" applyFont="1" applyFill="1" applyAlignment="1">
      <alignment horizontal="right"/>
    </xf>
    <xf numFmtId="164" fontId="13" fillId="3" borderId="1" xfId="2" applyNumberFormat="1" applyFont="1" applyFill="1" applyBorder="1" applyAlignment="1" applyProtection="1">
      <alignment horizontal="center"/>
      <protection locked="0"/>
    </xf>
    <xf numFmtId="0" fontId="13" fillId="3" borderId="2" xfId="2" applyFont="1" applyFill="1" applyBorder="1" applyAlignment="1" applyProtection="1">
      <alignment horizontal="center"/>
      <protection locked="0"/>
    </xf>
    <xf numFmtId="49" fontId="13" fillId="3" borderId="2" xfId="2" applyNumberFormat="1" applyFont="1" applyFill="1" applyBorder="1" applyAlignment="1" applyProtection="1">
      <alignment horizontal="center"/>
      <protection locked="0"/>
    </xf>
    <xf numFmtId="2" fontId="13" fillId="3" borderId="1" xfId="2" applyNumberFormat="1" applyFont="1" applyFill="1" applyBorder="1" applyAlignment="1" applyProtection="1">
      <alignment horizontal="center"/>
      <protection locked="0"/>
    </xf>
    <xf numFmtId="0" fontId="11" fillId="3" borderId="1" xfId="2" applyFont="1" applyFill="1" applyBorder="1" applyAlignment="1" applyProtection="1">
      <alignment horizontal="center" vertical="top"/>
      <protection locked="0"/>
    </xf>
    <xf numFmtId="165" fontId="11" fillId="3" borderId="1" xfId="2" applyNumberFormat="1" applyFont="1" applyFill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/>
      <protection locked="0"/>
    </xf>
    <xf numFmtId="0" fontId="11" fillId="2" borderId="1" xfId="2" applyFont="1" applyFill="1" applyBorder="1" applyAlignment="1" applyProtection="1">
      <alignment horizontal="center" vertical="top"/>
      <protection locked="0"/>
    </xf>
    <xf numFmtId="0" fontId="15" fillId="2" borderId="0" xfId="2" applyFont="1" applyFill="1" applyAlignment="1">
      <alignment horizontal="left" vertical="top"/>
    </xf>
    <xf numFmtId="0" fontId="13" fillId="2" borderId="0" xfId="2" applyFont="1" applyFill="1" applyAlignment="1">
      <alignment horizontal="center" vertical="top"/>
    </xf>
    <xf numFmtId="166" fontId="13" fillId="2" borderId="1" xfId="2" applyNumberFormat="1" applyFont="1" applyFill="1" applyBorder="1" applyAlignment="1">
      <alignment horizontal="center" vertical="top"/>
    </xf>
    <xf numFmtId="0" fontId="0" fillId="3" borderId="2" xfId="0" applyFill="1" applyBorder="1" applyAlignment="1" applyProtection="1">
      <alignment horizontal="center"/>
      <protection locked="0"/>
    </xf>
    <xf numFmtId="166" fontId="8" fillId="4" borderId="2" xfId="2" applyNumberFormat="1" applyFont="1" applyFill="1" applyBorder="1" applyAlignment="1">
      <alignment horizontal="center" vertical="top"/>
    </xf>
    <xf numFmtId="2" fontId="11" fillId="0" borderId="1" xfId="2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2" fontId="11" fillId="3" borderId="1" xfId="2" applyNumberFormat="1" applyFont="1" applyFill="1" applyBorder="1" applyAlignment="1" applyProtection="1">
      <alignment horizontal="center" vertical="top"/>
      <protection locked="0"/>
    </xf>
    <xf numFmtId="165" fontId="11" fillId="2" borderId="1" xfId="2" applyNumberFormat="1" applyFont="1" applyFill="1" applyBorder="1" applyAlignment="1">
      <alignment horizontal="center" vertical="top"/>
    </xf>
    <xf numFmtId="167" fontId="11" fillId="3" borderId="1" xfId="2" applyNumberFormat="1" applyFont="1" applyFill="1" applyBorder="1" applyAlignment="1" applyProtection="1">
      <alignment horizontal="center" vertical="top"/>
      <protection locked="0"/>
    </xf>
    <xf numFmtId="165" fontId="11" fillId="3" borderId="2" xfId="2" applyNumberFormat="1" applyFont="1" applyFill="1" applyBorder="1" applyAlignment="1" applyProtection="1">
      <alignment horizontal="center" vertical="top"/>
      <protection locked="0"/>
    </xf>
    <xf numFmtId="2" fontId="11" fillId="2" borderId="2" xfId="2" applyNumberFormat="1" applyFont="1" applyFill="1" applyBorder="1" applyAlignment="1">
      <alignment horizontal="center" vertical="top"/>
    </xf>
    <xf numFmtId="166" fontId="11" fillId="3" borderId="1" xfId="2" applyNumberFormat="1" applyFont="1" applyFill="1" applyBorder="1" applyAlignment="1" applyProtection="1">
      <alignment horizontal="center" vertical="top"/>
      <protection locked="0"/>
    </xf>
    <xf numFmtId="166" fontId="8" fillId="4" borderId="1" xfId="2" applyNumberFormat="1" applyFont="1" applyFill="1" applyBorder="1" applyAlignment="1">
      <alignment horizontal="center" vertical="top"/>
    </xf>
    <xf numFmtId="165" fontId="8" fillId="4" borderId="2" xfId="2" applyNumberFormat="1" applyFont="1" applyFill="1" applyBorder="1" applyAlignment="1">
      <alignment horizontal="center" vertical="top"/>
    </xf>
    <xf numFmtId="0" fontId="8" fillId="2" borderId="0" xfId="2" applyFont="1" applyFill="1" applyAlignment="1">
      <alignment horizontal="center" vertical="top" shrinkToFit="1"/>
    </xf>
    <xf numFmtId="10" fontId="11" fillId="2" borderId="1" xfId="2" applyNumberFormat="1" applyFont="1" applyFill="1" applyBorder="1" applyAlignment="1">
      <alignment horizontal="center" vertical="top"/>
    </xf>
    <xf numFmtId="165" fontId="8" fillId="4" borderId="1" xfId="2" applyNumberFormat="1" applyFont="1" applyFill="1" applyBorder="1" applyAlignment="1">
      <alignment horizontal="center" vertical="top"/>
    </xf>
    <xf numFmtId="0" fontId="8" fillId="2" borderId="4" xfId="2" applyFont="1" applyFill="1" applyBorder="1" applyAlignment="1">
      <alignment horizontal="center" vertical="top"/>
    </xf>
    <xf numFmtId="165" fontId="8" fillId="4" borderId="1" xfId="1" applyNumberFormat="1" applyFont="1" applyFill="1" applyBorder="1" applyAlignment="1">
      <alignment horizontal="center" vertical="top"/>
    </xf>
    <xf numFmtId="0" fontId="17" fillId="0" borderId="5" xfId="0" applyFont="1" applyBorder="1" applyAlignment="1">
      <alignment horizontal="center"/>
    </xf>
    <xf numFmtId="166" fontId="11" fillId="2" borderId="1" xfId="2" applyNumberFormat="1" applyFont="1" applyFill="1" applyBorder="1" applyAlignment="1">
      <alignment horizontal="center" vertical="top"/>
    </xf>
    <xf numFmtId="0" fontId="17" fillId="3" borderId="1" xfId="0" applyFont="1" applyFill="1" applyBorder="1" applyAlignment="1" applyProtection="1">
      <alignment horizontal="center"/>
      <protection locked="0"/>
    </xf>
    <xf numFmtId="0" fontId="17" fillId="0" borderId="2" xfId="0" applyFont="1" applyBorder="1" applyAlignment="1">
      <alignment horizontal="center"/>
    </xf>
    <xf numFmtId="0" fontId="17" fillId="3" borderId="2" xfId="0" applyFont="1" applyFill="1" applyBorder="1" applyAlignment="1" applyProtection="1">
      <alignment horizontal="center"/>
      <protection locked="0"/>
    </xf>
    <xf numFmtId="165" fontId="17" fillId="3" borderId="5" xfId="0" applyNumberFormat="1" applyFont="1" applyFill="1" applyBorder="1" applyAlignment="1" applyProtection="1">
      <alignment horizontal="center"/>
      <protection locked="0"/>
    </xf>
    <xf numFmtId="1" fontId="17" fillId="0" borderId="5" xfId="0" applyNumberFormat="1" applyFont="1" applyBorder="1" applyAlignment="1">
      <alignment horizontal="center"/>
    </xf>
    <xf numFmtId="0" fontId="17" fillId="3" borderId="5" xfId="0" applyFont="1" applyFill="1" applyBorder="1" applyAlignment="1" applyProtection="1">
      <alignment horizontal="center"/>
      <protection locked="0"/>
    </xf>
    <xf numFmtId="0" fontId="11" fillId="2" borderId="2" xfId="2" applyFont="1" applyFill="1" applyBorder="1" applyAlignment="1" applyProtection="1">
      <alignment horizontal="center" vertical="top"/>
      <protection locked="0"/>
    </xf>
    <xf numFmtId="0" fontId="11" fillId="2" borderId="1" xfId="2" applyFont="1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/>
      <protection locked="0"/>
    </xf>
    <xf numFmtId="12" fontId="11" fillId="3" borderId="1" xfId="2" applyNumberFormat="1" applyFont="1" applyFill="1" applyBorder="1" applyAlignment="1" applyProtection="1">
      <alignment horizontal="center" vertical="top"/>
      <protection locked="0"/>
    </xf>
    <xf numFmtId="0" fontId="8" fillId="0" borderId="1" xfId="2" applyFont="1" applyBorder="1" applyAlignment="1">
      <alignment horizontal="center"/>
    </xf>
    <xf numFmtId="10" fontId="11" fillId="2" borderId="1" xfId="1" applyNumberFormat="1" applyFont="1" applyFill="1" applyBorder="1" applyAlignment="1">
      <alignment horizontal="center" vertical="top"/>
    </xf>
    <xf numFmtId="165" fontId="17" fillId="0" borderId="5" xfId="0" applyNumberFormat="1" applyFont="1" applyBorder="1" applyAlignment="1">
      <alignment horizontal="center"/>
    </xf>
    <xf numFmtId="0" fontId="21" fillId="3" borderId="1" xfId="0" applyFont="1" applyFill="1" applyBorder="1" applyAlignment="1" applyProtection="1">
      <alignment horizontal="center"/>
      <protection locked="0"/>
    </xf>
    <xf numFmtId="166" fontId="11" fillId="2" borderId="2" xfId="2" applyNumberFormat="1" applyFont="1" applyFill="1" applyBorder="1" applyAlignment="1">
      <alignment horizontal="center"/>
    </xf>
    <xf numFmtId="166" fontId="11" fillId="0" borderId="1" xfId="2" applyNumberFormat="1" applyFont="1" applyBorder="1" applyAlignment="1">
      <alignment horizontal="center" vertical="top"/>
    </xf>
    <xf numFmtId="0" fontId="17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1" fillId="0" borderId="1" xfId="2" applyFont="1" applyBorder="1" applyAlignment="1" applyProtection="1">
      <alignment horizontal="left"/>
      <protection locked="0"/>
    </xf>
    <xf numFmtId="12" fontId="11" fillId="0" borderId="2" xfId="2" applyNumberFormat="1" applyFont="1" applyBorder="1" applyAlignment="1" applyProtection="1">
      <alignment horizontal="center"/>
      <protection locked="0"/>
    </xf>
    <xf numFmtId="0" fontId="11" fillId="3" borderId="1" xfId="2" applyFont="1" applyFill="1" applyBorder="1" applyAlignment="1" applyProtection="1">
      <alignment horizontal="center"/>
      <protection locked="0"/>
    </xf>
    <xf numFmtId="0" fontId="21" fillId="3" borderId="2" xfId="0" applyFont="1" applyFill="1" applyBorder="1" applyAlignment="1" applyProtection="1">
      <alignment horizontal="center"/>
      <protection locked="0"/>
    </xf>
    <xf numFmtId="0" fontId="14" fillId="2" borderId="1" xfId="2" applyFont="1" applyFill="1" applyBorder="1" applyAlignment="1" applyProtection="1">
      <alignment horizontal="right"/>
      <protection locked="0"/>
    </xf>
    <xf numFmtId="0" fontId="11" fillId="2" borderId="1" xfId="2" applyFont="1" applyFill="1" applyBorder="1" applyAlignment="1" applyProtection="1">
      <alignment horizontal="center"/>
      <protection locked="0"/>
    </xf>
    <xf numFmtId="2" fontId="17" fillId="0" borderId="6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7" fillId="0" borderId="1" xfId="0" applyFont="1" applyBorder="1" applyAlignment="1" applyProtection="1">
      <alignment horizontal="center"/>
      <protection locked="0"/>
    </xf>
    <xf numFmtId="166" fontId="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quotePrefix="1"/>
    <xf numFmtId="166" fontId="21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</cellXfs>
  <cellStyles count="3">
    <cellStyle name="Normal" xfId="0" builtinId="0"/>
    <cellStyle name="Normal_ContractorReport" xfId="2" xr:uid="{B49F1FB9-4A4C-46A2-B641-AB0D490023C1}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5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14</xdr:col>
      <xdr:colOff>99060</xdr:colOff>
      <xdr:row>30</xdr:row>
      <xdr:rowOff>83820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C007EF2-C505-413D-A7F1-E3B5216A7ECD}"/>
            </a:ext>
          </a:extLst>
        </xdr:cNvPr>
        <xdr:cNvSpPr>
          <a:spLocks noChangeArrowheads="1"/>
        </xdr:cNvSpPr>
      </xdr:nvSpPr>
      <xdr:spPr bwMode="auto">
        <a:xfrm>
          <a:off x="1638300" y="1744980"/>
          <a:ext cx="3208020" cy="3413760"/>
        </a:xfrm>
        <a:prstGeom prst="rect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C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29</xdr:col>
      <xdr:colOff>106680</xdr:colOff>
      <xdr:row>9</xdr:row>
      <xdr:rowOff>99060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FA8B288-BAC8-43D2-84AA-39AD3C17BBD6}"/>
            </a:ext>
          </a:extLst>
        </xdr:cNvPr>
        <xdr:cNvSpPr>
          <a:spLocks noChangeArrowheads="1"/>
        </xdr:cNvSpPr>
      </xdr:nvSpPr>
      <xdr:spPr bwMode="auto">
        <a:xfrm>
          <a:off x="1638300" y="1013460"/>
          <a:ext cx="7101840" cy="670560"/>
        </a:xfrm>
        <a:prstGeom prst="rect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C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11</xdr:row>
      <xdr:rowOff>0</xdr:rowOff>
    </xdr:from>
    <xdr:to>
      <xdr:col>29</xdr:col>
      <xdr:colOff>106680</xdr:colOff>
      <xdr:row>22</xdr:row>
      <xdr:rowOff>76200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C999A86-E37A-4467-9FD3-5BDD62029382}"/>
            </a:ext>
          </a:extLst>
        </xdr:cNvPr>
        <xdr:cNvSpPr>
          <a:spLocks noChangeArrowheads="1"/>
        </xdr:cNvSpPr>
      </xdr:nvSpPr>
      <xdr:spPr bwMode="auto">
        <a:xfrm>
          <a:off x="5006340" y="1744980"/>
          <a:ext cx="3733800" cy="2004060"/>
        </a:xfrm>
        <a:prstGeom prst="rect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C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22</xdr:row>
      <xdr:rowOff>152400</xdr:rowOff>
    </xdr:from>
    <xdr:to>
      <xdr:col>29</xdr:col>
      <xdr:colOff>106680</xdr:colOff>
      <xdr:row>34</xdr:row>
      <xdr:rowOff>68580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7DD87E6-1C49-454E-A2C1-B6B1D103410D}"/>
            </a:ext>
          </a:extLst>
        </xdr:cNvPr>
        <xdr:cNvSpPr>
          <a:spLocks noChangeArrowheads="1"/>
        </xdr:cNvSpPr>
      </xdr:nvSpPr>
      <xdr:spPr bwMode="auto">
        <a:xfrm>
          <a:off x="5006340" y="3825240"/>
          <a:ext cx="3733800" cy="2019300"/>
        </a:xfrm>
        <a:prstGeom prst="rect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C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30</xdr:row>
      <xdr:rowOff>152400</xdr:rowOff>
    </xdr:from>
    <xdr:to>
      <xdr:col>14</xdr:col>
      <xdr:colOff>99060</xdr:colOff>
      <xdr:row>41</xdr:row>
      <xdr:rowOff>99060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BB77497-452C-4A50-B44D-6B00F52DA643}"/>
            </a:ext>
          </a:extLst>
        </xdr:cNvPr>
        <xdr:cNvSpPr>
          <a:spLocks noChangeArrowheads="1"/>
        </xdr:cNvSpPr>
      </xdr:nvSpPr>
      <xdr:spPr bwMode="auto">
        <a:xfrm>
          <a:off x="1638300" y="5227320"/>
          <a:ext cx="3208020" cy="1874520"/>
        </a:xfrm>
        <a:prstGeom prst="rect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C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41</xdr:row>
      <xdr:rowOff>152400</xdr:rowOff>
    </xdr:from>
    <xdr:to>
      <xdr:col>14</xdr:col>
      <xdr:colOff>95250</xdr:colOff>
      <xdr:row>55</xdr:row>
      <xdr:rowOff>129540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CE4B0397-A45D-4EA5-9410-F7F90708512E}"/>
            </a:ext>
          </a:extLst>
        </xdr:cNvPr>
        <xdr:cNvSpPr>
          <a:spLocks noChangeArrowheads="1"/>
        </xdr:cNvSpPr>
      </xdr:nvSpPr>
      <xdr:spPr bwMode="auto">
        <a:xfrm>
          <a:off x="1638300" y="7155180"/>
          <a:ext cx="3204210" cy="2423160"/>
        </a:xfrm>
        <a:prstGeom prst="rect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C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34</xdr:row>
      <xdr:rowOff>152400</xdr:rowOff>
    </xdr:from>
    <xdr:to>
      <xdr:col>29</xdr:col>
      <xdr:colOff>106680</xdr:colOff>
      <xdr:row>55</xdr:row>
      <xdr:rowOff>129540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85B11FFD-D9B6-4DD8-B0A2-9F21878BF842}"/>
            </a:ext>
          </a:extLst>
        </xdr:cNvPr>
        <xdr:cNvSpPr>
          <a:spLocks noChangeArrowheads="1"/>
        </xdr:cNvSpPr>
      </xdr:nvSpPr>
      <xdr:spPr bwMode="auto">
        <a:xfrm>
          <a:off x="5006340" y="5928360"/>
          <a:ext cx="3733800" cy="3649980"/>
        </a:xfrm>
        <a:prstGeom prst="rect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C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29</xdr:col>
      <xdr:colOff>106680</xdr:colOff>
      <xdr:row>10</xdr:row>
      <xdr:rowOff>3810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B41CB442-55F5-4E3D-9706-2C503BA227B7}"/>
            </a:ext>
          </a:extLst>
        </xdr:cNvPr>
        <xdr:cNvSpPr>
          <a:spLocks noChangeArrowheads="1"/>
        </xdr:cNvSpPr>
      </xdr:nvSpPr>
      <xdr:spPr bwMode="auto">
        <a:xfrm>
          <a:off x="1590675" y="990600"/>
          <a:ext cx="6793230" cy="670560"/>
        </a:xfrm>
        <a:prstGeom prst="rect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C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65</xdr:row>
      <xdr:rowOff>152399</xdr:rowOff>
    </xdr:from>
    <xdr:to>
      <xdr:col>18</xdr:col>
      <xdr:colOff>95250</xdr:colOff>
      <xdr:row>83</xdr:row>
      <xdr:rowOff>22679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2BC4B257-57F8-4A25-A05A-E808460EEF4E}"/>
            </a:ext>
          </a:extLst>
        </xdr:cNvPr>
        <xdr:cNvSpPr>
          <a:spLocks noChangeArrowheads="1"/>
        </xdr:cNvSpPr>
      </xdr:nvSpPr>
      <xdr:spPr bwMode="auto">
        <a:xfrm>
          <a:off x="1590675" y="10677524"/>
          <a:ext cx="4057650" cy="3299280"/>
        </a:xfrm>
        <a:prstGeom prst="rect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C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29</xdr:col>
      <xdr:colOff>106680</xdr:colOff>
      <xdr:row>64</xdr:row>
      <xdr:rowOff>99060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18C9BC8F-2F7A-4523-A9F2-9AE28262C29B}"/>
            </a:ext>
          </a:extLst>
        </xdr:cNvPr>
        <xdr:cNvSpPr>
          <a:spLocks noChangeArrowheads="1"/>
        </xdr:cNvSpPr>
      </xdr:nvSpPr>
      <xdr:spPr bwMode="auto">
        <a:xfrm>
          <a:off x="1590675" y="990600"/>
          <a:ext cx="6793230" cy="670560"/>
        </a:xfrm>
        <a:prstGeom prst="rect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C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87C19-6CFE-4DFE-92DC-5088A8469808}">
  <sheetPr codeName="Sheet2"/>
  <dimension ref="B1:CJ126"/>
  <sheetViews>
    <sheetView showGridLines="0" tabSelected="1" zoomScaleNormal="100" workbookViewId="0">
      <selection activeCell="AC39" sqref="AC39"/>
    </sheetView>
  </sheetViews>
  <sheetFormatPr defaultRowHeight="15" x14ac:dyDescent="0.25"/>
  <cols>
    <col min="1" max="1" width="22" customWidth="1"/>
    <col min="2" max="2" width="1.85546875" customWidth="1"/>
    <col min="3" max="29" width="3.7109375" customWidth="1"/>
    <col min="30" max="30" width="1.7109375" customWidth="1"/>
    <col min="31" max="31" width="3.42578125" customWidth="1"/>
    <col min="32" max="38" width="3.7109375" customWidth="1"/>
    <col min="39" max="48" width="4.85546875" customWidth="1"/>
    <col min="49" max="64" width="3.7109375" customWidth="1"/>
    <col min="79" max="88" width="7.140625" customWidth="1"/>
  </cols>
  <sheetData>
    <row r="1" spans="2:30" ht="12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22.15" customHeight="1" x14ac:dyDescent="0.25">
      <c r="B2" s="1"/>
      <c r="C2" s="60" t="s">
        <v>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AB2" s="2"/>
      <c r="AC2" s="3" t="s">
        <v>1</v>
      </c>
    </row>
    <row r="3" spans="2:30" ht="16.149999999999999" customHeight="1" x14ac:dyDescent="0.25">
      <c r="B3" s="1"/>
      <c r="C3" s="61" t="s">
        <v>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AC3" s="4" t="s">
        <v>139</v>
      </c>
    </row>
    <row r="4" spans="2:30" ht="16.149999999999999" customHeight="1" x14ac:dyDescent="0.25">
      <c r="B4" s="1"/>
      <c r="C4" s="5" t="s">
        <v>3</v>
      </c>
      <c r="D4" s="5"/>
      <c r="E4" s="5"/>
      <c r="F4" s="5"/>
      <c r="G4" s="5"/>
      <c r="H4" s="5"/>
      <c r="I4" s="5"/>
      <c r="J4" s="62"/>
      <c r="K4" s="62"/>
      <c r="L4" s="62"/>
      <c r="M4" s="5"/>
      <c r="N4" s="6" t="s">
        <v>4</v>
      </c>
      <c r="O4" s="6"/>
      <c r="P4" s="63"/>
      <c r="Q4" s="63"/>
      <c r="V4" s="1"/>
      <c r="W4" s="1"/>
      <c r="X4" s="1"/>
      <c r="Y4" s="7" t="s">
        <v>5</v>
      </c>
      <c r="Z4" s="63"/>
      <c r="AA4" s="63"/>
      <c r="AB4" s="6" t="s">
        <v>6</v>
      </c>
      <c r="AC4" s="1"/>
    </row>
    <row r="5" spans="2:30" ht="7.15" customHeight="1" x14ac:dyDescent="0.25">
      <c r="B5" s="1"/>
      <c r="C5" s="1"/>
      <c r="D5" s="1"/>
      <c r="E5" s="1"/>
      <c r="F5" s="1"/>
      <c r="G5" s="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  <c r="X5" s="1"/>
      <c r="Y5" s="1"/>
      <c r="Z5" s="7"/>
      <c r="AA5" s="8"/>
      <c r="AB5" s="8"/>
      <c r="AC5" s="6"/>
      <c r="AD5" s="1"/>
    </row>
    <row r="6" spans="2:30" ht="6" customHeight="1" x14ac:dyDescent="0.25">
      <c r="B6" s="1"/>
      <c r="C6" s="1"/>
      <c r="D6" s="1"/>
      <c r="E6" s="1"/>
      <c r="F6" s="1"/>
      <c r="G6" s="1"/>
      <c r="H6" s="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ht="15" customHeight="1" x14ac:dyDescent="0.25">
      <c r="B7" s="1"/>
      <c r="C7" s="10" t="s">
        <v>7</v>
      </c>
      <c r="D7" s="11"/>
      <c r="E7" s="11"/>
      <c r="F7" s="11"/>
      <c r="G7" s="11"/>
      <c r="H7" s="11"/>
      <c r="I7" s="11"/>
      <c r="J7" s="11"/>
      <c r="K7" s="11"/>
      <c r="L7" s="12" t="s">
        <v>8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11"/>
    </row>
    <row r="8" spans="2:30" ht="15" customHeight="1" x14ac:dyDescent="0.25">
      <c r="B8" s="1"/>
      <c r="C8" s="70" t="s">
        <v>9</v>
      </c>
      <c r="D8" s="70"/>
      <c r="E8" s="70"/>
      <c r="F8" s="63"/>
      <c r="G8" s="63"/>
      <c r="H8" s="63"/>
      <c r="I8" s="71" t="s">
        <v>10</v>
      </c>
      <c r="J8" s="71"/>
      <c r="K8" s="64"/>
      <c r="L8" s="64"/>
      <c r="M8" s="64"/>
      <c r="N8" s="64"/>
      <c r="O8" s="64"/>
      <c r="P8" s="64"/>
      <c r="Q8" s="64"/>
      <c r="R8" s="16"/>
      <c r="S8" s="15" t="s">
        <v>11</v>
      </c>
      <c r="T8" s="13"/>
      <c r="U8" s="16"/>
      <c r="V8" s="15" t="s">
        <v>12</v>
      </c>
      <c r="W8" s="13"/>
      <c r="X8" s="1"/>
      <c r="Y8" s="15" t="s">
        <v>13</v>
      </c>
      <c r="Z8" s="72"/>
      <c r="AA8" s="72"/>
      <c r="AB8" s="72"/>
      <c r="AC8" s="72"/>
      <c r="AD8" s="9"/>
    </row>
    <row r="9" spans="2:30" ht="15" customHeight="1" x14ac:dyDescent="0.25">
      <c r="B9" s="1"/>
      <c r="C9" s="70" t="s">
        <v>14</v>
      </c>
      <c r="D9" s="70"/>
      <c r="E9" s="70"/>
      <c r="F9" s="73"/>
      <c r="G9" s="73"/>
      <c r="H9" s="73"/>
      <c r="I9" s="16"/>
      <c r="J9" s="9"/>
      <c r="K9" s="1"/>
      <c r="L9" s="15" t="s">
        <v>15</v>
      </c>
      <c r="M9" s="74"/>
      <c r="N9" s="74"/>
      <c r="O9" s="17"/>
      <c r="P9" s="1"/>
      <c r="Q9" s="16"/>
      <c r="R9" s="16"/>
      <c r="S9" s="15" t="s">
        <v>16</v>
      </c>
      <c r="T9" s="75"/>
      <c r="U9" s="75"/>
      <c r="V9" s="75"/>
      <c r="W9" s="71" t="s">
        <v>17</v>
      </c>
      <c r="X9" s="71"/>
      <c r="Y9" s="71"/>
      <c r="Z9" s="71"/>
      <c r="AA9" s="71"/>
      <c r="AB9" s="65"/>
      <c r="AC9" s="65"/>
      <c r="AD9" s="9"/>
    </row>
    <row r="10" spans="2:30" ht="7.9" customHeight="1" x14ac:dyDescent="0.25">
      <c r="B10" s="1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</row>
    <row r="11" spans="2:30" ht="4.9000000000000004" customHeight="1" x14ac:dyDescent="0.25">
      <c r="B11" s="1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</row>
    <row r="12" spans="2:30" ht="13.9" customHeight="1" x14ac:dyDescent="0.25">
      <c r="B12" s="9"/>
      <c r="C12" s="68" t="s">
        <v>18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18"/>
      <c r="P12" s="68" t="s">
        <v>19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2:30" ht="13.9" customHeight="1" x14ac:dyDescent="0.25">
      <c r="B13" s="9"/>
      <c r="C13" s="19" t="s">
        <v>20</v>
      </c>
      <c r="D13" s="18"/>
      <c r="E13" s="18"/>
      <c r="F13" s="69" t="s">
        <v>21</v>
      </c>
      <c r="G13" s="69"/>
      <c r="H13" s="69"/>
      <c r="I13" s="69"/>
      <c r="J13" s="69"/>
      <c r="K13" s="69"/>
      <c r="L13" s="69"/>
      <c r="M13" s="69"/>
      <c r="N13" s="69"/>
      <c r="O13" s="18"/>
      <c r="P13" s="19" t="s">
        <v>20</v>
      </c>
      <c r="Q13" s="18"/>
      <c r="R13" s="18"/>
      <c r="S13" s="69" t="s">
        <v>21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18"/>
    </row>
    <row r="14" spans="2:30" ht="13.9" customHeight="1" x14ac:dyDescent="0.25">
      <c r="B14" s="9"/>
      <c r="C14" s="19" t="s">
        <v>22</v>
      </c>
      <c r="D14" s="18"/>
      <c r="E14" s="18"/>
      <c r="F14" s="19"/>
      <c r="G14" s="78"/>
      <c r="H14" s="78"/>
      <c r="I14" s="78"/>
      <c r="J14" s="78"/>
      <c r="K14" s="20"/>
      <c r="L14" s="21" t="s">
        <v>23</v>
      </c>
      <c r="M14" s="79"/>
      <c r="N14" s="79"/>
      <c r="O14" s="18"/>
      <c r="P14" s="19" t="s">
        <v>22</v>
      </c>
      <c r="Q14" s="18"/>
      <c r="R14" s="18"/>
      <c r="S14" s="22"/>
      <c r="T14" s="79" t="s">
        <v>21</v>
      </c>
      <c r="U14" s="79"/>
      <c r="V14" s="79"/>
      <c r="W14" s="79"/>
      <c r="X14" s="79"/>
      <c r="Y14" s="79"/>
      <c r="Z14" s="23"/>
      <c r="AA14" s="21" t="s">
        <v>23</v>
      </c>
      <c r="AB14" s="79"/>
      <c r="AC14" s="79"/>
      <c r="AD14" s="18"/>
    </row>
    <row r="15" spans="2:30" ht="13.9" customHeight="1" x14ac:dyDescent="0.25">
      <c r="B15" s="9"/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18"/>
      <c r="P15" s="18"/>
      <c r="Q15" s="18"/>
      <c r="R15" s="18"/>
      <c r="S15" s="18"/>
      <c r="T15" s="18"/>
      <c r="U15" s="18"/>
      <c r="V15" s="18"/>
      <c r="W15" s="81" t="s">
        <v>25</v>
      </c>
      <c r="X15" s="81"/>
      <c r="Y15" s="81"/>
      <c r="Z15" s="18"/>
      <c r="AA15" s="81" t="s">
        <v>26</v>
      </c>
      <c r="AB15" s="81"/>
      <c r="AC15" s="81"/>
      <c r="AD15" s="18"/>
    </row>
    <row r="16" spans="2:30" ht="13.9" customHeight="1" x14ac:dyDescent="0.25">
      <c r="B16" s="9"/>
      <c r="C16" s="19" t="s">
        <v>27</v>
      </c>
      <c r="D16" s="18"/>
      <c r="E16" s="18"/>
      <c r="F16" s="18"/>
      <c r="G16" s="18"/>
      <c r="H16" s="18"/>
      <c r="I16" s="18"/>
      <c r="J16" s="18"/>
      <c r="K16" s="22"/>
      <c r="L16" s="76"/>
      <c r="M16" s="76"/>
      <c r="N16" s="76"/>
      <c r="O16" s="18"/>
      <c r="P16" s="19" t="s">
        <v>28</v>
      </c>
      <c r="Q16" s="18"/>
      <c r="R16" s="18"/>
      <c r="S16" s="18"/>
      <c r="T16" s="18"/>
      <c r="U16" s="18"/>
      <c r="V16" s="18"/>
      <c r="W16" s="77"/>
      <c r="X16" s="77"/>
      <c r="Y16" s="77"/>
      <c r="Z16" s="18"/>
      <c r="AA16" s="77"/>
      <c r="AB16" s="77"/>
      <c r="AC16" s="77"/>
      <c r="AD16" s="18"/>
    </row>
    <row r="17" spans="2:88" ht="13.9" customHeight="1" x14ac:dyDescent="0.25">
      <c r="B17" s="9"/>
      <c r="C17" s="19" t="s">
        <v>29</v>
      </c>
      <c r="D17" s="18"/>
      <c r="E17" s="18"/>
      <c r="F17" s="18"/>
      <c r="G17" s="18"/>
      <c r="H17" s="18"/>
      <c r="I17" s="18"/>
      <c r="J17" s="18"/>
      <c r="K17" s="22"/>
      <c r="L17" s="76"/>
      <c r="M17" s="76"/>
      <c r="N17" s="76"/>
      <c r="O17" s="18"/>
      <c r="P17" s="19" t="s">
        <v>30</v>
      </c>
      <c r="Q17" s="18"/>
      <c r="R17" s="18"/>
      <c r="S17" s="18"/>
      <c r="T17" s="18"/>
      <c r="U17" s="18"/>
      <c r="V17" s="18"/>
      <c r="W17" s="77"/>
      <c r="X17" s="77"/>
      <c r="Y17" s="77"/>
      <c r="Z17" s="18"/>
      <c r="AA17" s="77"/>
      <c r="AB17" s="77"/>
      <c r="AC17" s="77"/>
      <c r="AD17" s="18"/>
    </row>
    <row r="18" spans="2:88" ht="13.9" customHeight="1" x14ac:dyDescent="0.25">
      <c r="B18" s="9"/>
      <c r="C18" s="19" t="s">
        <v>31</v>
      </c>
      <c r="D18" s="18"/>
      <c r="E18" s="18"/>
      <c r="F18" s="18"/>
      <c r="G18" s="18"/>
      <c r="H18" s="18"/>
      <c r="I18" s="18"/>
      <c r="J18" s="18"/>
      <c r="K18" s="22"/>
      <c r="L18" s="76"/>
      <c r="M18" s="76"/>
      <c r="N18" s="76"/>
      <c r="O18" s="18"/>
      <c r="P18" s="19" t="s">
        <v>32</v>
      </c>
      <c r="Q18" s="18"/>
      <c r="R18" s="18"/>
      <c r="S18" s="18"/>
      <c r="T18" s="18"/>
      <c r="U18" s="18"/>
      <c r="V18" s="18"/>
      <c r="W18" s="88">
        <f>IFERROR((W17-W16),"")</f>
        <v>0</v>
      </c>
      <c r="X18" s="88"/>
      <c r="Y18" s="88"/>
      <c r="Z18" s="18"/>
      <c r="AA18" s="88">
        <f>IFERROR((AA17-AA16),"")</f>
        <v>0</v>
      </c>
      <c r="AB18" s="88"/>
      <c r="AC18" s="88"/>
      <c r="AD18" s="18"/>
      <c r="BZ18" s="24"/>
      <c r="CA18" s="86" t="s">
        <v>33</v>
      </c>
      <c r="CB18" s="86"/>
      <c r="CC18" s="86" t="s">
        <v>34</v>
      </c>
      <c r="CD18" s="86"/>
      <c r="CE18" s="86" t="s">
        <v>35</v>
      </c>
      <c r="CF18" s="86"/>
      <c r="CG18" s="86" t="s">
        <v>36</v>
      </c>
      <c r="CH18" s="86"/>
      <c r="CI18" s="86" t="s">
        <v>37</v>
      </c>
      <c r="CJ18" s="86"/>
    </row>
    <row r="19" spans="2:88" ht="13.9" customHeight="1" x14ac:dyDescent="0.25">
      <c r="B19" s="9"/>
      <c r="C19" s="19" t="s">
        <v>38</v>
      </c>
      <c r="D19" s="18"/>
      <c r="E19" s="18"/>
      <c r="F19" s="18"/>
      <c r="G19" s="18"/>
      <c r="H19" s="18"/>
      <c r="I19" s="18"/>
      <c r="J19" s="18"/>
      <c r="K19" s="22"/>
      <c r="L19" s="87"/>
      <c r="M19" s="87"/>
      <c r="N19" s="87"/>
      <c r="O19" s="18"/>
      <c r="P19" s="19" t="s">
        <v>39</v>
      </c>
      <c r="Q19" s="18"/>
      <c r="R19" s="18"/>
      <c r="S19" s="18"/>
      <c r="T19" s="18"/>
      <c r="U19" s="18"/>
      <c r="V19" s="18"/>
      <c r="W19" s="77"/>
      <c r="X19" s="77"/>
      <c r="Y19" s="77"/>
      <c r="Z19" s="18"/>
      <c r="AA19" s="77"/>
      <c r="AB19" s="77"/>
      <c r="AC19" s="77"/>
      <c r="AD19" s="18"/>
      <c r="BZ19" s="25" t="s">
        <v>10</v>
      </c>
      <c r="CA19" s="26" t="s">
        <v>40</v>
      </c>
      <c r="CB19" s="26" t="s">
        <v>41</v>
      </c>
      <c r="CC19" s="26" t="s">
        <v>40</v>
      </c>
      <c r="CD19" s="26" t="s">
        <v>41</v>
      </c>
      <c r="CE19" s="26" t="s">
        <v>40</v>
      </c>
      <c r="CF19" s="26" t="s">
        <v>41</v>
      </c>
      <c r="CG19" s="26" t="s">
        <v>40</v>
      </c>
      <c r="CH19" s="26" t="s">
        <v>41</v>
      </c>
      <c r="CI19" s="26" t="s">
        <v>40</v>
      </c>
      <c r="CJ19" s="26" t="s">
        <v>41</v>
      </c>
    </row>
    <row r="20" spans="2:88" ht="13.9" customHeight="1" x14ac:dyDescent="0.25">
      <c r="B20" s="9"/>
      <c r="C20" s="80" t="s">
        <v>42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18"/>
      <c r="P20" s="19" t="s">
        <v>43</v>
      </c>
      <c r="Q20" s="18"/>
      <c r="R20" s="18"/>
      <c r="S20" s="18"/>
      <c r="T20" s="18"/>
      <c r="U20" s="18"/>
      <c r="V20" s="18"/>
      <c r="W20" s="77"/>
      <c r="X20" s="77"/>
      <c r="Y20" s="77"/>
      <c r="Z20" s="18"/>
      <c r="AA20" s="77"/>
      <c r="AB20" s="77"/>
      <c r="AC20" s="77"/>
      <c r="AD20" s="18"/>
      <c r="BZ20" s="27" t="s">
        <v>44</v>
      </c>
      <c r="CA20" s="28">
        <f>$AR$20-0.3</f>
        <v>-0.3</v>
      </c>
      <c r="CB20" s="28">
        <f t="shared" ref="CB20:CB30" si="0">$AR$20+0.3</f>
        <v>0.3</v>
      </c>
      <c r="CC20" s="29">
        <v>0.03</v>
      </c>
      <c r="CD20" s="29">
        <v>0.05</v>
      </c>
      <c r="CE20" s="28">
        <v>11</v>
      </c>
      <c r="CF20" s="28">
        <v>13</v>
      </c>
      <c r="CG20" s="28">
        <v>92</v>
      </c>
      <c r="CH20" s="28">
        <v>96</v>
      </c>
      <c r="CI20" s="26">
        <v>0.6</v>
      </c>
      <c r="CJ20" s="26">
        <v>1.6</v>
      </c>
    </row>
    <row r="21" spans="2:88" ht="13.9" customHeight="1" x14ac:dyDescent="0.25">
      <c r="B21" s="9"/>
      <c r="C21" s="19" t="s">
        <v>27</v>
      </c>
      <c r="D21" s="18"/>
      <c r="E21" s="18"/>
      <c r="F21" s="18"/>
      <c r="G21" s="18"/>
      <c r="H21" s="18"/>
      <c r="I21" s="18"/>
      <c r="J21" s="18"/>
      <c r="K21" s="22"/>
      <c r="L21" s="76"/>
      <c r="M21" s="76"/>
      <c r="N21" s="76"/>
      <c r="O21" s="18"/>
      <c r="P21" s="19" t="s">
        <v>45</v>
      </c>
      <c r="Q21" s="18"/>
      <c r="R21" s="18"/>
      <c r="S21" s="18"/>
      <c r="T21" s="18"/>
      <c r="U21" s="18"/>
      <c r="V21" s="18"/>
      <c r="W21" s="82" t="str">
        <f>IF(W20="","",IF(ISERR(W18/$AF$22),0,ROUND(W18/$AF$22,3)))</f>
        <v/>
      </c>
      <c r="X21" s="82"/>
      <c r="Y21" s="82"/>
      <c r="Z21" s="18"/>
      <c r="AA21" s="82" t="str">
        <f>IF(AA20="","",IF(ISERR(AA18/$AG$22),0,ROUND(AA18/$AG$22,3)))</f>
        <v/>
      </c>
      <c r="AB21" s="82"/>
      <c r="AC21" s="82"/>
      <c r="AD21" s="18"/>
      <c r="AF21" s="53">
        <f>W19-W20</f>
        <v>0</v>
      </c>
      <c r="AG21" s="53">
        <f>AA19-AA20</f>
        <v>0</v>
      </c>
      <c r="BZ21" s="27" t="s">
        <v>46</v>
      </c>
      <c r="CA21" s="28">
        <f>$AR$20-0.3</f>
        <v>-0.3</v>
      </c>
      <c r="CB21" s="28">
        <f t="shared" si="0"/>
        <v>0.3</v>
      </c>
      <c r="CC21" s="29">
        <v>0.03</v>
      </c>
      <c r="CD21" s="29">
        <v>0.05</v>
      </c>
      <c r="CE21" s="28">
        <v>12</v>
      </c>
      <c r="CF21" s="28">
        <v>14</v>
      </c>
      <c r="CG21" s="28">
        <v>92</v>
      </c>
      <c r="CH21" s="28">
        <v>96</v>
      </c>
      <c r="CI21" s="26">
        <v>0.6</v>
      </c>
      <c r="CJ21" s="26">
        <v>1.6</v>
      </c>
    </row>
    <row r="22" spans="2:88" ht="13.9" customHeight="1" x14ac:dyDescent="0.25">
      <c r="B22" s="9"/>
      <c r="C22" s="19" t="s">
        <v>38</v>
      </c>
      <c r="L22" s="76"/>
      <c r="M22" s="76"/>
      <c r="N22" s="76"/>
      <c r="O22" s="18"/>
      <c r="P22" s="30" t="s">
        <v>137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84" t="str">
        <f>IF(AA20="",W21,ROUND(AVERAGE(W21,AA21),3))</f>
        <v/>
      </c>
      <c r="AB22" s="84"/>
      <c r="AC22" s="84"/>
      <c r="AD22" s="18"/>
      <c r="AF22" s="53">
        <f>W18-AF21</f>
        <v>0</v>
      </c>
      <c r="AG22" s="53">
        <f>AA18-AG21</f>
        <v>0</v>
      </c>
      <c r="BZ22" s="27" t="s">
        <v>48</v>
      </c>
      <c r="CA22" s="28">
        <f>$AR$20-0.3</f>
        <v>-0.3</v>
      </c>
      <c r="CB22" s="28">
        <f t="shared" si="0"/>
        <v>0.3</v>
      </c>
      <c r="CC22" s="29">
        <v>0.03</v>
      </c>
      <c r="CD22" s="29">
        <v>0.05</v>
      </c>
      <c r="CE22" s="28">
        <v>13.5</v>
      </c>
      <c r="CF22" s="28">
        <v>16</v>
      </c>
      <c r="CG22" s="28">
        <v>92</v>
      </c>
      <c r="CH22" s="28">
        <v>96</v>
      </c>
      <c r="CI22" s="26">
        <v>0.6</v>
      </c>
      <c r="CJ22" s="26">
        <v>1.6</v>
      </c>
    </row>
    <row r="23" spans="2:88" ht="13.9" customHeight="1" x14ac:dyDescent="0.25">
      <c r="B23" s="9"/>
      <c r="C23" s="19" t="s">
        <v>47</v>
      </c>
      <c r="L23" s="83"/>
      <c r="M23" s="83"/>
      <c r="N23" s="8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BZ23" s="27" t="s">
        <v>49</v>
      </c>
      <c r="CA23" s="28">
        <f>$AR$20-0.2</f>
        <v>-0.2</v>
      </c>
      <c r="CB23" s="28">
        <f t="shared" si="0"/>
        <v>0.3</v>
      </c>
      <c r="CC23" s="29">
        <v>2.5000000000000001E-2</v>
      </c>
      <c r="CD23" s="29">
        <v>4.4999999999999998E-2</v>
      </c>
      <c r="CE23" s="28">
        <v>14</v>
      </c>
      <c r="CF23" s="28">
        <v>16.5</v>
      </c>
      <c r="CG23" s="28">
        <v>92</v>
      </c>
      <c r="CH23" s="28">
        <v>96</v>
      </c>
      <c r="CI23" s="26">
        <v>0.6</v>
      </c>
      <c r="CJ23" s="26">
        <v>1.2</v>
      </c>
    </row>
    <row r="24" spans="2:88" ht="13.9" customHeight="1" x14ac:dyDescent="0.25">
      <c r="B24" s="9"/>
      <c r="C24" s="19" t="s">
        <v>136</v>
      </c>
      <c r="D24" s="18"/>
      <c r="E24" s="18"/>
      <c r="F24" s="18"/>
      <c r="G24" s="18"/>
      <c r="H24" s="18"/>
      <c r="I24" s="18"/>
      <c r="J24" s="18"/>
      <c r="K24" s="22"/>
      <c r="L24" s="85" t="str">
        <f>IF(L22&gt;0,L22-L23,"0")</f>
        <v>0</v>
      </c>
      <c r="M24" s="85"/>
      <c r="N24" s="85"/>
      <c r="O24" s="18"/>
      <c r="P24" s="68" t="s">
        <v>50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BZ24" s="27" t="s">
        <v>51</v>
      </c>
      <c r="CA24" s="28">
        <f>$AR$20-0.3</f>
        <v>-0.3</v>
      </c>
      <c r="CB24" s="28">
        <f t="shared" si="0"/>
        <v>0.3</v>
      </c>
      <c r="CC24" s="29">
        <v>0.03</v>
      </c>
      <c r="CD24" s="29">
        <v>0.05</v>
      </c>
      <c r="CE24" s="28" t="s">
        <v>52</v>
      </c>
      <c r="CF24" s="28"/>
      <c r="CG24" s="28">
        <v>92</v>
      </c>
      <c r="CH24" s="28">
        <v>96</v>
      </c>
      <c r="CI24" s="26">
        <v>0.6</v>
      </c>
      <c r="CJ24" s="26">
        <v>1.6</v>
      </c>
    </row>
    <row r="25" spans="2:88" ht="13.9" customHeight="1" x14ac:dyDescent="0.25">
      <c r="B25" s="9"/>
      <c r="C25" s="80" t="s">
        <v>53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8"/>
      <c r="P25" s="19" t="s">
        <v>20</v>
      </c>
      <c r="Q25" s="18"/>
      <c r="R25" s="18"/>
      <c r="S25" s="69" t="s">
        <v>21</v>
      </c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18"/>
      <c r="BZ25" s="27" t="s">
        <v>54</v>
      </c>
      <c r="CA25" s="28">
        <f>$AR$20-0.3</f>
        <v>-0.3</v>
      </c>
      <c r="CB25" s="28">
        <f t="shared" si="0"/>
        <v>0.3</v>
      </c>
      <c r="CC25" s="29">
        <v>0.03</v>
      </c>
      <c r="CD25" s="29">
        <v>0.05</v>
      </c>
      <c r="CE25" s="28">
        <v>14.5</v>
      </c>
      <c r="CF25" s="28">
        <v>17</v>
      </c>
      <c r="CG25" s="28">
        <v>92</v>
      </c>
      <c r="CH25" s="28">
        <v>96</v>
      </c>
      <c r="CI25" s="26">
        <v>0.6</v>
      </c>
      <c r="CJ25" s="26">
        <v>1.6</v>
      </c>
    </row>
    <row r="26" spans="2:88" ht="13.9" customHeight="1" x14ac:dyDescent="0.25">
      <c r="B26" s="9"/>
      <c r="C26" s="19" t="s">
        <v>55</v>
      </c>
      <c r="D26" s="18"/>
      <c r="E26" s="18"/>
      <c r="F26" s="18"/>
      <c r="G26" s="18"/>
      <c r="H26" s="18"/>
      <c r="I26" s="18"/>
      <c r="J26" s="18"/>
      <c r="K26" s="22"/>
      <c r="L26" s="77"/>
      <c r="M26" s="77"/>
      <c r="N26" s="77"/>
      <c r="O26" s="18"/>
      <c r="P26" s="19" t="s">
        <v>22</v>
      </c>
      <c r="Q26" s="18"/>
      <c r="R26" s="18"/>
      <c r="S26" s="22"/>
      <c r="T26" s="79"/>
      <c r="U26" s="79"/>
      <c r="V26" s="79"/>
      <c r="W26" s="79"/>
      <c r="X26" s="79"/>
      <c r="Y26" s="79"/>
      <c r="Z26" s="23"/>
      <c r="AA26" s="21" t="s">
        <v>23</v>
      </c>
      <c r="AB26" s="79"/>
      <c r="AC26" s="79"/>
      <c r="AD26" s="18"/>
      <c r="BZ26" s="27" t="s">
        <v>56</v>
      </c>
      <c r="CA26" s="28">
        <f>$AR$20-0.2</f>
        <v>-0.2</v>
      </c>
      <c r="CB26" s="28">
        <f t="shared" si="0"/>
        <v>0.3</v>
      </c>
      <c r="CC26" s="29">
        <v>2.5000000000000001E-2</v>
      </c>
      <c r="CD26" s="29">
        <v>4.4999999999999998E-2</v>
      </c>
      <c r="CE26" s="28">
        <v>15</v>
      </c>
      <c r="CF26" s="28">
        <v>17.5</v>
      </c>
      <c r="CG26" s="28">
        <v>92</v>
      </c>
      <c r="CH26" s="28">
        <v>96</v>
      </c>
      <c r="CI26" s="26">
        <v>0.6</v>
      </c>
      <c r="CJ26" s="26">
        <v>1.2</v>
      </c>
    </row>
    <row r="27" spans="2:88" ht="13.9" customHeight="1" x14ac:dyDescent="0.25">
      <c r="B27" s="9"/>
      <c r="C27" s="19" t="s">
        <v>57</v>
      </c>
      <c r="D27" s="18"/>
      <c r="E27" s="18"/>
      <c r="F27" s="18"/>
      <c r="G27" s="18"/>
      <c r="H27" s="18"/>
      <c r="I27" s="18"/>
      <c r="J27" s="18"/>
      <c r="K27" s="22"/>
      <c r="L27" s="77"/>
      <c r="M27" s="77"/>
      <c r="N27" s="77"/>
      <c r="O27" s="18"/>
      <c r="P27" s="19" t="s">
        <v>58</v>
      </c>
      <c r="Q27" s="18"/>
      <c r="R27" s="18"/>
      <c r="S27" s="18"/>
      <c r="T27" s="18"/>
      <c r="U27" s="18"/>
      <c r="V27" s="18"/>
      <c r="W27" s="89"/>
      <c r="X27" s="89"/>
      <c r="Y27" s="89"/>
      <c r="Z27" s="18"/>
      <c r="AA27" s="18"/>
      <c r="AB27" s="18"/>
      <c r="AC27" s="18"/>
      <c r="AD27" s="18"/>
      <c r="BZ27" s="27" t="s">
        <v>59</v>
      </c>
      <c r="CA27" s="28">
        <f>$AR$20-0.3</f>
        <v>-0.3</v>
      </c>
      <c r="CB27" s="28">
        <f t="shared" si="0"/>
        <v>0.3</v>
      </c>
      <c r="CC27" s="29">
        <v>0.03</v>
      </c>
      <c r="CD27" s="29">
        <v>0.05</v>
      </c>
      <c r="CE27" s="28" t="s">
        <v>52</v>
      </c>
      <c r="CF27" s="28"/>
      <c r="CG27" s="28">
        <v>92</v>
      </c>
      <c r="CH27" s="28">
        <v>96</v>
      </c>
      <c r="CI27" s="26">
        <v>0.6</v>
      </c>
      <c r="CJ27" s="26">
        <v>1.6</v>
      </c>
    </row>
    <row r="28" spans="2:88" ht="13.9" customHeight="1" x14ac:dyDescent="0.25">
      <c r="B28" s="9"/>
      <c r="C28" s="19" t="s">
        <v>60</v>
      </c>
      <c r="D28" s="18"/>
      <c r="E28" s="18"/>
      <c r="F28" s="18"/>
      <c r="G28" s="18"/>
      <c r="H28" s="18"/>
      <c r="I28" s="18"/>
      <c r="J28" s="18"/>
      <c r="K28" s="22"/>
      <c r="L28" s="90"/>
      <c r="M28" s="90"/>
      <c r="N28" s="90"/>
      <c r="O28" s="18"/>
      <c r="P28" s="18"/>
      <c r="Q28" s="18"/>
      <c r="R28" s="18"/>
      <c r="S28" s="18"/>
      <c r="T28" s="18"/>
      <c r="U28" s="18"/>
      <c r="V28" s="18"/>
      <c r="W28" s="81" t="s">
        <v>61</v>
      </c>
      <c r="X28" s="81"/>
      <c r="Y28" s="81"/>
      <c r="Z28" s="18"/>
      <c r="AA28" s="81" t="s">
        <v>62</v>
      </c>
      <c r="AB28" s="81"/>
      <c r="AC28" s="81"/>
      <c r="AD28" s="18"/>
      <c r="BZ28" s="27" t="s">
        <v>63</v>
      </c>
      <c r="CA28" s="28">
        <f>$AR$20-0.3</f>
        <v>-0.3</v>
      </c>
      <c r="CB28" s="28">
        <f t="shared" si="0"/>
        <v>0.3</v>
      </c>
      <c r="CC28" s="28"/>
      <c r="CD28" s="28"/>
      <c r="CE28" s="28"/>
      <c r="CF28" s="28"/>
      <c r="CG28" s="28"/>
      <c r="CH28" s="28"/>
    </row>
    <row r="29" spans="2:88" ht="13.9" customHeight="1" x14ac:dyDescent="0.25">
      <c r="B29" s="9"/>
      <c r="C29" s="19" t="s">
        <v>64</v>
      </c>
      <c r="D29" s="18"/>
      <c r="E29" s="18"/>
      <c r="F29" s="18"/>
      <c r="G29" s="18"/>
      <c r="H29" s="18"/>
      <c r="I29" s="18"/>
      <c r="J29" s="18"/>
      <c r="K29" s="22"/>
      <c r="L29" s="91" t="str">
        <f>IF(L28&gt;0,ROUND(100*(L27-L28)/(L28-L26),2),"")</f>
        <v/>
      </c>
      <c r="M29" s="91"/>
      <c r="N29" s="91"/>
      <c r="O29" s="18"/>
      <c r="P29" s="19" t="s">
        <v>65</v>
      </c>
      <c r="Q29" s="18"/>
      <c r="R29" s="18"/>
      <c r="S29" s="18"/>
      <c r="T29" s="18"/>
      <c r="U29" s="18"/>
      <c r="V29" s="18"/>
      <c r="W29" s="77"/>
      <c r="X29" s="77"/>
      <c r="Y29" s="77"/>
      <c r="Z29" s="18"/>
      <c r="AA29" s="77"/>
      <c r="AB29" s="77"/>
      <c r="AC29" s="77"/>
      <c r="AD29" s="18"/>
      <c r="BZ29" s="27" t="s">
        <v>66</v>
      </c>
      <c r="CA29" s="28">
        <f>$AR$20-0.3</f>
        <v>-0.3</v>
      </c>
      <c r="CB29" s="28">
        <f t="shared" si="0"/>
        <v>0.3</v>
      </c>
      <c r="CC29" s="28"/>
      <c r="CD29" s="28"/>
      <c r="CE29" s="28"/>
      <c r="CF29" s="28"/>
      <c r="CG29" s="28"/>
      <c r="CH29" s="28"/>
    </row>
    <row r="30" spans="2:88" ht="13.9" customHeight="1" x14ac:dyDescent="0.25">
      <c r="B30" s="9"/>
      <c r="C30" s="30" t="s">
        <v>67</v>
      </c>
      <c r="D30" s="18"/>
      <c r="E30" s="18"/>
      <c r="F30" s="18"/>
      <c r="G30" s="18"/>
      <c r="H30" s="18"/>
      <c r="I30" s="18"/>
      <c r="J30" s="18"/>
      <c r="K30" s="22"/>
      <c r="L30" s="94" t="str">
        <f>IFERROR(ROUND((L19+L24-L29),1),"")</f>
        <v/>
      </c>
      <c r="M30" s="94"/>
      <c r="N30" s="94"/>
      <c r="O30" s="18"/>
      <c r="P30" s="19" t="s">
        <v>68</v>
      </c>
      <c r="Q30" s="18"/>
      <c r="R30" s="18"/>
      <c r="S30" s="18"/>
      <c r="T30" s="18"/>
      <c r="U30" s="18"/>
      <c r="V30" s="18"/>
      <c r="W30" s="77"/>
      <c r="X30" s="77"/>
      <c r="Y30" s="77"/>
      <c r="Z30" s="18"/>
      <c r="AA30" s="77"/>
      <c r="AB30" s="77"/>
      <c r="AC30" s="77"/>
      <c r="AD30" s="18"/>
      <c r="BZ30" s="27" t="s">
        <v>69</v>
      </c>
      <c r="CA30" s="28">
        <f>$AR$20-0.3</f>
        <v>-0.3</v>
      </c>
      <c r="CB30" s="28">
        <f t="shared" si="0"/>
        <v>0.3</v>
      </c>
      <c r="CC30" s="28"/>
      <c r="CD30" s="28"/>
      <c r="CE30" s="28"/>
      <c r="CF30" s="28"/>
      <c r="CG30" s="28"/>
      <c r="CH30" s="28"/>
    </row>
    <row r="31" spans="2:88" ht="13.9" customHeight="1" x14ac:dyDescent="0.25">
      <c r="B31" s="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 t="s">
        <v>70</v>
      </c>
      <c r="Q31" s="18"/>
      <c r="R31" s="18"/>
      <c r="S31" s="18"/>
      <c r="T31" s="18"/>
      <c r="U31" s="18"/>
      <c r="V31" s="18"/>
      <c r="W31" s="77"/>
      <c r="X31" s="77"/>
      <c r="Y31" s="77"/>
      <c r="Z31" s="18"/>
      <c r="AA31" s="77"/>
      <c r="AB31" s="77"/>
      <c r="AC31" s="77"/>
      <c r="AD31" s="18"/>
      <c r="BZ31" s="24"/>
    </row>
    <row r="32" spans="2:88" ht="13.9" customHeight="1" x14ac:dyDescent="0.25">
      <c r="B32" s="9"/>
      <c r="C32" s="95" t="s">
        <v>71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18"/>
      <c r="P32" s="19" t="s">
        <v>72</v>
      </c>
      <c r="Q32" s="18"/>
      <c r="R32" s="18"/>
      <c r="S32" s="18"/>
      <c r="T32" s="18"/>
      <c r="U32" s="18"/>
      <c r="V32" s="18"/>
      <c r="W32" s="96" t="str">
        <f>IF(W31&gt;0,ROUND(((W31-W29)/(W31-W30)),4),"")</f>
        <v/>
      </c>
      <c r="X32" s="96"/>
      <c r="Y32" s="96"/>
      <c r="Z32" s="18"/>
      <c r="AA32" s="96" t="str">
        <f>IF(AA31&gt;0,ROUND(((AA31-AA29)/(AA31-AA30)),4),"")</f>
        <v/>
      </c>
      <c r="AB32" s="96"/>
      <c r="AC32" s="96"/>
      <c r="AD32" s="18"/>
      <c r="BZ32" s="24"/>
    </row>
    <row r="33" spans="2:79" ht="13.9" customHeight="1" x14ac:dyDescent="0.25">
      <c r="B33" s="9"/>
      <c r="C33" s="19" t="s">
        <v>73</v>
      </c>
      <c r="D33" s="18"/>
      <c r="E33" s="18"/>
      <c r="F33" s="18"/>
      <c r="G33" s="18"/>
      <c r="H33" s="18"/>
      <c r="I33" s="18"/>
      <c r="J33" s="18"/>
      <c r="K33" s="18"/>
      <c r="L33" s="76"/>
      <c r="M33" s="76"/>
      <c r="N33" s="76"/>
      <c r="O33" s="18"/>
      <c r="P33" s="19" t="s">
        <v>74</v>
      </c>
      <c r="Q33" s="18"/>
      <c r="R33" s="18"/>
      <c r="S33" s="18"/>
      <c r="T33" s="18"/>
      <c r="U33" s="18"/>
      <c r="V33" s="18"/>
      <c r="W33" s="82" t="str">
        <f>IF(W31="","",IF(ISERR(W29/(W31-W30)),0,ROUND((W29/(W31-W30)),3)))</f>
        <v/>
      </c>
      <c r="X33" s="82"/>
      <c r="Y33" s="82"/>
      <c r="Z33" s="18"/>
      <c r="AA33" s="82" t="str">
        <f>IF(AA31="","",IF(ISERR(AA29/(AA31-AA30)),0,ROUND((AA29/(AA31-AA30)),3)))</f>
        <v/>
      </c>
      <c r="AB33" s="82"/>
      <c r="AC33" s="82"/>
      <c r="AD33" s="18"/>
    </row>
    <row r="34" spans="2:79" ht="13.9" customHeight="1" x14ac:dyDescent="0.25">
      <c r="B34" s="9"/>
      <c r="C34" s="19" t="s">
        <v>75</v>
      </c>
      <c r="D34" s="18"/>
      <c r="E34" s="18"/>
      <c r="F34" s="18"/>
      <c r="G34" s="18"/>
      <c r="H34" s="18"/>
      <c r="I34" s="18"/>
      <c r="J34" s="18"/>
      <c r="K34" s="18"/>
      <c r="L34" s="92"/>
      <c r="M34" s="92"/>
      <c r="N34" s="92"/>
      <c r="O34" s="18"/>
      <c r="P34" s="30" t="s">
        <v>76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93" t="e">
        <f>IF(AA33=0,W33,ROUND(AVERAGE(W33,AA33),3))</f>
        <v>#DIV/0!</v>
      </c>
      <c r="AB34" s="93"/>
      <c r="AC34" s="93"/>
      <c r="AD34" s="18"/>
      <c r="BZ34" s="24" t="s">
        <v>77</v>
      </c>
      <c r="CA34" s="31" t="e">
        <f>100-L30</f>
        <v>#VALUE!</v>
      </c>
    </row>
    <row r="35" spans="2:79" ht="13.9" customHeight="1" x14ac:dyDescent="0.25">
      <c r="B35" s="9"/>
      <c r="C35" s="19" t="s">
        <v>78</v>
      </c>
      <c r="D35" s="18"/>
      <c r="E35" s="18"/>
      <c r="F35" s="18"/>
      <c r="G35" s="18"/>
      <c r="H35" s="18"/>
      <c r="I35" s="18"/>
      <c r="J35" s="18"/>
      <c r="K35" s="18"/>
      <c r="L35" s="77"/>
      <c r="M35" s="77"/>
      <c r="N35" s="7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2:79" ht="13.9" customHeight="1" x14ac:dyDescent="0.25">
      <c r="B36" s="9"/>
      <c r="C36" s="19" t="s">
        <v>138</v>
      </c>
      <c r="L36" s="104"/>
      <c r="M36" s="104"/>
      <c r="N36" s="104"/>
      <c r="O36" s="18"/>
      <c r="P36" s="68" t="s">
        <v>79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2:79" ht="13.9" customHeight="1" x14ac:dyDescent="0.25">
      <c r="B37" s="9"/>
      <c r="C37" s="19" t="s">
        <v>80</v>
      </c>
      <c r="D37" s="18"/>
      <c r="E37" s="18"/>
      <c r="F37" s="18"/>
      <c r="G37" s="18"/>
      <c r="H37" s="18"/>
      <c r="I37" s="18"/>
      <c r="J37" s="18"/>
      <c r="K37" s="18"/>
      <c r="L37" s="101" t="str">
        <f>IF(AA22="","",IF(ISERR(L30/L34),0,ROUND((L38)/((100/AA22)-(L30/L34)),3)))</f>
        <v/>
      </c>
      <c r="M37" s="101"/>
      <c r="N37" s="101"/>
      <c r="O37" s="18"/>
      <c r="Q37" s="32" t="s">
        <v>81</v>
      </c>
      <c r="R37" s="32"/>
      <c r="S37" s="32"/>
      <c r="T37" s="32"/>
      <c r="U37" s="32"/>
      <c r="V37" s="102"/>
      <c r="W37" s="102"/>
      <c r="X37" s="102"/>
      <c r="AB37" s="33" t="s">
        <v>82</v>
      </c>
    </row>
    <row r="38" spans="2:79" ht="13.9" customHeight="1" x14ac:dyDescent="0.25">
      <c r="B38" s="9"/>
      <c r="C38" s="19" t="s">
        <v>83</v>
      </c>
      <c r="D38" s="18"/>
      <c r="E38" s="18"/>
      <c r="F38" s="18"/>
      <c r="G38" s="18"/>
      <c r="H38" s="18"/>
      <c r="I38" s="18"/>
      <c r="J38" s="18"/>
      <c r="K38" s="18"/>
      <c r="L38" s="88" t="e">
        <f>IF(L30&gt;0,100-L30,"")</f>
        <v>#VALUE!</v>
      </c>
      <c r="M38" s="88"/>
      <c r="N38" s="88"/>
      <c r="O38" s="18"/>
      <c r="Q38" s="32" t="s">
        <v>84</v>
      </c>
      <c r="R38" s="32"/>
      <c r="S38" s="32"/>
      <c r="T38" s="32"/>
      <c r="U38" s="32"/>
      <c r="V38" s="103" t="e">
        <f>IF(AC39&gt;"",V37,IF(CA34="","",ROUND(V37*(CA34/100),1)))</f>
        <v>#VALUE!</v>
      </c>
      <c r="W38" s="103"/>
      <c r="X38" s="103"/>
      <c r="AB38" s="34" t="s">
        <v>85</v>
      </c>
      <c r="AC38" s="35"/>
    </row>
    <row r="39" spans="2:79" ht="13.9" customHeight="1" x14ac:dyDescent="0.25">
      <c r="B39" s="9"/>
      <c r="C39" s="19" t="s">
        <v>86</v>
      </c>
      <c r="D39" s="18"/>
      <c r="E39" s="18"/>
      <c r="F39" s="18"/>
      <c r="G39" s="18"/>
      <c r="H39" s="18"/>
      <c r="I39" s="18"/>
      <c r="J39" s="18"/>
      <c r="K39" s="18"/>
      <c r="L39" s="88" t="str">
        <f>IF(ISERR(L38/L37),"",ROUND(100-(AA34*L38/L37),1))</f>
        <v/>
      </c>
      <c r="M39" s="88"/>
      <c r="N39" s="88"/>
      <c r="O39" s="18"/>
      <c r="Q39" s="32" t="s">
        <v>87</v>
      </c>
      <c r="R39" s="32"/>
      <c r="S39" s="32"/>
      <c r="T39" s="32"/>
      <c r="U39" s="32"/>
      <c r="V39" s="104"/>
      <c r="W39" s="104"/>
      <c r="X39" s="104"/>
      <c r="AB39" s="34" t="s">
        <v>88</v>
      </c>
      <c r="AC39" s="35"/>
    </row>
    <row r="40" spans="2:79" ht="13.9" customHeight="1" x14ac:dyDescent="0.25">
      <c r="B40" s="9"/>
      <c r="C40" s="30" t="s">
        <v>89</v>
      </c>
      <c r="D40" s="18"/>
      <c r="E40" s="18"/>
      <c r="F40" s="18"/>
      <c r="G40" s="18"/>
      <c r="H40" s="18"/>
      <c r="I40" s="97" t="e">
        <f>IF(AND(AA22&gt;0,AA34&gt;0,L37&gt;0,L38&gt;0),L39-L35,"")</f>
        <v>#DIV/0!</v>
      </c>
      <c r="J40" s="97"/>
      <c r="K40" s="97"/>
      <c r="L40" s="98"/>
      <c r="M40" s="98"/>
      <c r="N40" s="98"/>
      <c r="O40" s="18"/>
      <c r="BY40" s="51" t="str">
        <f>AA22</f>
        <v/>
      </c>
    </row>
    <row r="41" spans="2:79" ht="13.9" customHeight="1" x14ac:dyDescent="0.25">
      <c r="B41" s="9"/>
      <c r="C41" s="30" t="s">
        <v>90</v>
      </c>
      <c r="D41" s="18"/>
      <c r="E41" s="18"/>
      <c r="F41" s="18"/>
      <c r="G41" s="18"/>
      <c r="H41" s="18"/>
      <c r="I41" s="99" t="e">
        <f>IF(AND(AA22&gt;0,AA34&gt;0),ROUND(100*(AA22-AA34)/AA22,1),"")</f>
        <v>#DIV/0!</v>
      </c>
      <c r="J41" s="99"/>
      <c r="K41" s="99"/>
      <c r="L41" s="68"/>
      <c r="M41" s="68"/>
      <c r="N41" s="68"/>
      <c r="O41" s="18"/>
      <c r="Q41" s="100" t="s">
        <v>91</v>
      </c>
      <c r="R41" s="100"/>
      <c r="S41" s="100" t="s">
        <v>92</v>
      </c>
      <c r="T41" s="100"/>
      <c r="U41" s="100"/>
      <c r="V41" s="100" t="s">
        <v>93</v>
      </c>
      <c r="W41" s="100"/>
      <c r="X41" s="100" t="s">
        <v>94</v>
      </c>
      <c r="Y41" s="100"/>
      <c r="Z41" s="100" t="s">
        <v>95</v>
      </c>
      <c r="AA41" s="100"/>
      <c r="AB41" s="100" t="s">
        <v>96</v>
      </c>
      <c r="AC41" s="100"/>
      <c r="AH41" s="52" t="s">
        <v>140</v>
      </c>
      <c r="AI41" s="52"/>
      <c r="AJ41" s="136" t="e">
        <f>ROUND(100*(I40-I41)/I40,1)</f>
        <v>#DIV/0!</v>
      </c>
      <c r="AK41" s="136"/>
    </row>
    <row r="42" spans="2:79" ht="13.9" customHeight="1" x14ac:dyDescent="0.25">
      <c r="B42" s="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Q42" s="100" t="s">
        <v>97</v>
      </c>
      <c r="R42" s="100"/>
      <c r="S42" s="105"/>
      <c r="T42" s="105"/>
      <c r="U42" s="105"/>
      <c r="V42" s="106" t="e">
        <f>IF(OR($V$38="",S42=""),"",(ROUND(100-((S42/$V$38)*100),0)))</f>
        <v>#VALUE!</v>
      </c>
      <c r="W42" s="106"/>
      <c r="X42" s="107"/>
      <c r="Y42" s="107"/>
      <c r="Z42" s="100"/>
      <c r="AA42" s="100"/>
      <c r="AB42" s="100"/>
      <c r="AC42" s="100"/>
      <c r="AH42" s="52" t="s">
        <v>141</v>
      </c>
      <c r="AI42" s="52"/>
      <c r="AJ42" s="137" t="e">
        <f>ROUND(((100*L34)*(L37-L36))/(L36*L37),1)</f>
        <v>#VALUE!</v>
      </c>
      <c r="AK42" s="137"/>
    </row>
    <row r="43" spans="2:79" ht="13.9" customHeight="1" x14ac:dyDescent="0.25">
      <c r="B43" s="9"/>
      <c r="C43" s="68" t="s">
        <v>98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18"/>
      <c r="Q43" s="100" t="s">
        <v>99</v>
      </c>
      <c r="R43" s="100"/>
      <c r="S43" s="105"/>
      <c r="T43" s="105"/>
      <c r="U43" s="105"/>
      <c r="V43" s="106" t="e">
        <f t="shared" ref="V43:V54" si="1">IF(OR($V$38="",S43=""),"",(ROUND(100-((S43/$V$38)*100),0)))</f>
        <v>#VALUE!</v>
      </c>
      <c r="W43" s="106"/>
      <c r="X43" s="107"/>
      <c r="Y43" s="107"/>
      <c r="Z43" s="100"/>
      <c r="AA43" s="100"/>
      <c r="AB43" s="100"/>
      <c r="AC43" s="100"/>
      <c r="AH43" s="52" t="s">
        <v>142</v>
      </c>
      <c r="AI43" s="52"/>
      <c r="AJ43" s="137" t="e">
        <f>ROUND(L30-((AJ42*L38)/100),1)</f>
        <v>#VALUE!</v>
      </c>
      <c r="AK43" s="137"/>
    </row>
    <row r="44" spans="2:79" ht="13.9" customHeight="1" x14ac:dyDescent="0.25">
      <c r="B44" s="9"/>
      <c r="C44" s="19" t="s">
        <v>20</v>
      </c>
      <c r="D44" s="18"/>
      <c r="E44" s="18"/>
      <c r="F44" s="69"/>
      <c r="G44" s="69"/>
      <c r="H44" s="69"/>
      <c r="I44" s="69"/>
      <c r="J44" s="69"/>
      <c r="K44" s="69"/>
      <c r="L44" s="69"/>
      <c r="M44" s="69"/>
      <c r="N44" s="69"/>
      <c r="O44" s="18"/>
      <c r="Q44" s="100" t="s">
        <v>100</v>
      </c>
      <c r="R44" s="100"/>
      <c r="S44" s="105"/>
      <c r="T44" s="105"/>
      <c r="U44" s="105"/>
      <c r="V44" s="106" t="e">
        <f t="shared" si="1"/>
        <v>#VALUE!</v>
      </c>
      <c r="W44" s="106"/>
      <c r="X44" s="107"/>
      <c r="Y44" s="107"/>
      <c r="Z44" s="100">
        <v>7</v>
      </c>
      <c r="AA44" s="100"/>
      <c r="AB44" s="100" t="e">
        <f>IF(AND(V44&gt;=(X44-7),V44&lt;=X44+7),"YES","NO")</f>
        <v>#VALUE!</v>
      </c>
      <c r="AC44" s="100"/>
      <c r="AH44" s="52"/>
      <c r="AI44" s="52"/>
      <c r="AJ44" s="52"/>
      <c r="AK44" s="52"/>
    </row>
    <row r="45" spans="2:79" ht="13.9" customHeight="1" x14ac:dyDescent="0.25">
      <c r="B45" s="9"/>
      <c r="C45" s="19" t="s">
        <v>22</v>
      </c>
      <c r="D45" s="18"/>
      <c r="E45" s="18"/>
      <c r="F45" s="19"/>
      <c r="G45" s="108" t="s">
        <v>21</v>
      </c>
      <c r="H45" s="108"/>
      <c r="I45" s="108"/>
      <c r="J45" s="108"/>
      <c r="K45" s="20"/>
      <c r="L45" s="21" t="s">
        <v>23</v>
      </c>
      <c r="M45" s="79"/>
      <c r="N45" s="79"/>
      <c r="O45" s="18"/>
      <c r="Q45" s="100" t="s">
        <v>101</v>
      </c>
      <c r="R45" s="100"/>
      <c r="S45" s="105"/>
      <c r="T45" s="105"/>
      <c r="U45" s="105"/>
      <c r="V45" s="106" t="e">
        <f t="shared" si="1"/>
        <v>#VALUE!</v>
      </c>
      <c r="W45" s="106"/>
      <c r="X45" s="107"/>
      <c r="Y45" s="107"/>
      <c r="Z45" s="100">
        <v>7</v>
      </c>
      <c r="AA45" s="100"/>
      <c r="AB45" s="100" t="e">
        <f t="shared" ref="AB45:AB46" si="2">IF(AND(V45&gt;=(X45-7),V45&lt;=X45+7),"YES","NO")</f>
        <v>#VALUE!</v>
      </c>
      <c r="AC45" s="100"/>
    </row>
    <row r="46" spans="2:79" ht="13.9" customHeight="1" x14ac:dyDescent="0.25">
      <c r="B46" s="9"/>
      <c r="G46" s="36"/>
      <c r="H46" s="36"/>
      <c r="I46" s="36"/>
      <c r="J46" s="19"/>
      <c r="K46" s="49" t="s">
        <v>125</v>
      </c>
      <c r="L46" s="117" t="str">
        <f>AA22</f>
        <v/>
      </c>
      <c r="M46" s="117"/>
      <c r="N46" s="117"/>
      <c r="O46" s="18"/>
      <c r="Q46" s="100" t="s">
        <v>102</v>
      </c>
      <c r="R46" s="100"/>
      <c r="S46" s="105"/>
      <c r="T46" s="105"/>
      <c r="U46" s="105"/>
      <c r="V46" s="106" t="e">
        <f t="shared" si="1"/>
        <v>#VALUE!</v>
      </c>
      <c r="W46" s="106"/>
      <c r="X46" s="107"/>
      <c r="Y46" s="107"/>
      <c r="Z46" s="100">
        <v>7</v>
      </c>
      <c r="AA46" s="100"/>
      <c r="AB46" s="100" t="e">
        <f t="shared" si="2"/>
        <v>#VALUE!</v>
      </c>
      <c r="AC46" s="100"/>
    </row>
    <row r="47" spans="2:79" ht="13.9" customHeight="1" x14ac:dyDescent="0.25">
      <c r="B47" s="9"/>
      <c r="C47" s="19" t="s">
        <v>103</v>
      </c>
      <c r="D47" s="18"/>
      <c r="E47" s="18"/>
      <c r="F47" s="18"/>
      <c r="G47" s="109"/>
      <c r="H47" s="109"/>
      <c r="I47" s="109"/>
      <c r="J47" s="19"/>
      <c r="K47" s="15" t="s">
        <v>104</v>
      </c>
      <c r="L47" s="130" t="s">
        <v>131</v>
      </c>
      <c r="M47" s="130"/>
      <c r="N47" s="130"/>
      <c r="O47" s="18"/>
      <c r="Q47" s="100" t="s">
        <v>105</v>
      </c>
      <c r="R47" s="100"/>
      <c r="S47" s="105"/>
      <c r="T47" s="105"/>
      <c r="U47" s="105"/>
      <c r="V47" s="106" t="e">
        <f t="shared" si="1"/>
        <v>#VALUE!</v>
      </c>
      <c r="W47" s="106"/>
      <c r="X47" s="107"/>
      <c r="Y47" s="107"/>
      <c r="Z47" s="100"/>
      <c r="AA47" s="100"/>
      <c r="AB47" s="100"/>
      <c r="AC47" s="100"/>
    </row>
    <row r="48" spans="2:79" ht="13.9" customHeight="1" x14ac:dyDescent="0.25">
      <c r="B48" s="9"/>
      <c r="C48" s="19" t="s">
        <v>106</v>
      </c>
      <c r="D48" s="18"/>
      <c r="E48" s="18"/>
      <c r="F48" s="18"/>
      <c r="G48" s="109"/>
      <c r="H48" s="109"/>
      <c r="I48" s="109"/>
      <c r="J48" s="109"/>
      <c r="K48" s="109"/>
      <c r="L48" s="109"/>
      <c r="M48" s="109"/>
      <c r="N48" s="109"/>
      <c r="O48" s="37"/>
      <c r="Q48" s="100" t="s">
        <v>107</v>
      </c>
      <c r="R48" s="100"/>
      <c r="S48" s="105"/>
      <c r="T48" s="105"/>
      <c r="U48" s="105"/>
      <c r="V48" s="106" t="e">
        <f t="shared" si="1"/>
        <v>#VALUE!</v>
      </c>
      <c r="W48" s="106"/>
      <c r="X48" s="107"/>
      <c r="Y48" s="107"/>
      <c r="Z48" s="100">
        <v>7</v>
      </c>
      <c r="AA48" s="100"/>
      <c r="AB48" s="100" t="e">
        <f t="shared" ref="AB48:AB49" si="3">IF(AND(V48&gt;=(X48-7),V48&lt;=X48+7),"YES","NO")</f>
        <v>#VALUE!</v>
      </c>
      <c r="AC48" s="100"/>
    </row>
    <row r="49" spans="2:41" ht="13.9" customHeight="1" x14ac:dyDescent="0.25">
      <c r="B49" s="9"/>
      <c r="C49" s="19" t="s">
        <v>108</v>
      </c>
      <c r="D49" s="18"/>
      <c r="E49" s="18"/>
      <c r="F49" s="18"/>
      <c r="G49" s="18"/>
      <c r="H49" s="18"/>
      <c r="I49" s="18"/>
      <c r="J49" s="18"/>
      <c r="K49" s="18"/>
      <c r="L49" s="111"/>
      <c r="M49" s="111"/>
      <c r="N49" s="111"/>
      <c r="O49" s="18"/>
      <c r="Q49" s="100" t="s">
        <v>109</v>
      </c>
      <c r="R49" s="100"/>
      <c r="S49" s="105"/>
      <c r="T49" s="105"/>
      <c r="U49" s="105"/>
      <c r="V49" s="106" t="e">
        <f t="shared" si="1"/>
        <v>#VALUE!</v>
      </c>
      <c r="W49" s="106"/>
      <c r="X49" s="107"/>
      <c r="Y49" s="107"/>
      <c r="Z49" s="100">
        <v>7</v>
      </c>
      <c r="AA49" s="100"/>
      <c r="AB49" s="100" t="e">
        <f t="shared" si="3"/>
        <v>#VALUE!</v>
      </c>
      <c r="AC49" s="100"/>
    </row>
    <row r="50" spans="2:41" ht="13.9" customHeight="1" x14ac:dyDescent="0.25">
      <c r="B50" s="9"/>
      <c r="C50" s="19" t="s">
        <v>110</v>
      </c>
      <c r="D50" s="18"/>
      <c r="E50" s="18"/>
      <c r="F50" s="18"/>
      <c r="G50" s="18"/>
      <c r="H50" s="18"/>
      <c r="I50" s="18"/>
      <c r="J50" s="18"/>
      <c r="K50" s="18"/>
      <c r="L50" s="77"/>
      <c r="M50" s="77"/>
      <c r="N50" s="77"/>
      <c r="O50" s="18"/>
      <c r="Q50" s="100" t="s">
        <v>111</v>
      </c>
      <c r="R50" s="100"/>
      <c r="S50" s="105"/>
      <c r="T50" s="105"/>
      <c r="U50" s="105"/>
      <c r="V50" s="106" t="e">
        <f t="shared" si="1"/>
        <v>#VALUE!</v>
      </c>
      <c r="W50" s="106"/>
      <c r="X50" s="107"/>
      <c r="Y50" s="107"/>
      <c r="Z50" s="100">
        <v>4</v>
      </c>
      <c r="AA50" s="100"/>
      <c r="AB50" s="100" t="e">
        <f>IF(AND(V50&gt;=(X50-4),V50&lt;=X50+4),"YES","NO")</f>
        <v>#VALUE!</v>
      </c>
      <c r="AC50" s="100"/>
    </row>
    <row r="51" spans="2:41" ht="13.9" customHeight="1" x14ac:dyDescent="0.25">
      <c r="B51" s="9"/>
      <c r="C51" s="19" t="s">
        <v>112</v>
      </c>
      <c r="D51" s="18"/>
      <c r="E51" s="18"/>
      <c r="F51" s="18"/>
      <c r="G51" s="18"/>
      <c r="H51" s="18"/>
      <c r="I51" s="18"/>
      <c r="J51" s="18"/>
      <c r="K51" s="18"/>
      <c r="L51" s="77"/>
      <c r="M51" s="77"/>
      <c r="N51" s="77"/>
      <c r="O51" s="18"/>
      <c r="Q51" s="100" t="s">
        <v>113</v>
      </c>
      <c r="R51" s="100"/>
      <c r="S51" s="105"/>
      <c r="T51" s="105"/>
      <c r="U51" s="105"/>
      <c r="V51" s="106" t="e">
        <f t="shared" si="1"/>
        <v>#VALUE!</v>
      </c>
      <c r="W51" s="106"/>
      <c r="X51" s="107"/>
      <c r="Y51" s="107"/>
      <c r="Z51" s="100">
        <v>4</v>
      </c>
      <c r="AA51" s="100"/>
      <c r="AB51" s="100" t="e">
        <f t="shared" ref="AB51:AB53" si="4">IF(AND(V51&gt;=(X51-4),V51&lt;=X51+4),"YES","NO")</f>
        <v>#VALUE!</v>
      </c>
      <c r="AC51" s="100"/>
    </row>
    <row r="52" spans="2:41" ht="13.9" customHeight="1" x14ac:dyDescent="0.25">
      <c r="B52" s="1"/>
      <c r="C52" s="19" t="s">
        <v>114</v>
      </c>
      <c r="D52" s="18"/>
      <c r="E52" s="18"/>
      <c r="F52" s="18"/>
      <c r="G52" s="18"/>
      <c r="H52" s="18"/>
      <c r="I52" s="18"/>
      <c r="J52" s="18"/>
      <c r="K52" s="18"/>
      <c r="L52" s="77"/>
      <c r="M52" s="77"/>
      <c r="N52" s="77"/>
      <c r="O52" s="18"/>
      <c r="Q52" s="100" t="s">
        <v>115</v>
      </c>
      <c r="R52" s="100"/>
      <c r="S52" s="105"/>
      <c r="T52" s="105"/>
      <c r="U52" s="105"/>
      <c r="V52" s="106" t="e">
        <f t="shared" si="1"/>
        <v>#VALUE!</v>
      </c>
      <c r="W52" s="106"/>
      <c r="X52" s="107"/>
      <c r="Y52" s="107"/>
      <c r="Z52" s="100">
        <v>4</v>
      </c>
      <c r="AA52" s="100"/>
      <c r="AB52" s="100" t="e">
        <f t="shared" si="4"/>
        <v>#VALUE!</v>
      </c>
      <c r="AC52" s="100"/>
      <c r="AF52" s="131"/>
      <c r="AG52" s="131"/>
      <c r="AH52" s="131"/>
      <c r="AI52" s="131"/>
      <c r="AJ52" s="133"/>
      <c r="AK52" s="134"/>
      <c r="AL52" s="134"/>
      <c r="AM52" s="133"/>
      <c r="AN52" s="135"/>
      <c r="AO52" s="135"/>
    </row>
    <row r="53" spans="2:41" ht="13.9" customHeight="1" x14ac:dyDescent="0.25">
      <c r="B53" s="1"/>
      <c r="C53" s="19" t="s">
        <v>116</v>
      </c>
      <c r="D53" s="18"/>
      <c r="E53" s="18"/>
      <c r="F53" s="18"/>
      <c r="G53" s="18"/>
      <c r="H53" s="18"/>
      <c r="I53" s="18"/>
      <c r="J53" s="18"/>
      <c r="K53" s="18"/>
      <c r="L53" s="101" t="str">
        <f>IF(L52&lt;=0,"",IF(ISERR(L50/(L52-L51)),"",ROUND(L50/(L52-L51),3)))</f>
        <v/>
      </c>
      <c r="M53" s="101"/>
      <c r="N53" s="101"/>
      <c r="O53" s="18"/>
      <c r="Q53" s="100" t="s">
        <v>117</v>
      </c>
      <c r="R53" s="100"/>
      <c r="S53" s="105"/>
      <c r="T53" s="105"/>
      <c r="U53" s="105"/>
      <c r="V53" s="106" t="e">
        <f t="shared" si="1"/>
        <v>#VALUE!</v>
      </c>
      <c r="W53" s="106"/>
      <c r="X53" s="107"/>
      <c r="Y53" s="107"/>
      <c r="Z53" s="100">
        <v>4</v>
      </c>
      <c r="AA53" s="100"/>
      <c r="AB53" s="100" t="e">
        <f t="shared" si="4"/>
        <v>#VALUE!</v>
      </c>
      <c r="AC53" s="100"/>
      <c r="AG53" s="132"/>
      <c r="AH53" s="132"/>
    </row>
    <row r="54" spans="2:41" ht="13.9" customHeight="1" x14ac:dyDescent="0.25">
      <c r="B54" s="1"/>
      <c r="C54" s="19" t="s">
        <v>118</v>
      </c>
      <c r="D54" s="18"/>
      <c r="E54" s="18"/>
      <c r="F54" s="18"/>
      <c r="G54" s="18"/>
      <c r="H54" s="18"/>
      <c r="I54" s="18"/>
      <c r="J54" s="18"/>
      <c r="K54" s="18"/>
      <c r="L54" s="113" t="str">
        <f>IF(L52&gt;0,ROUND(((L52-L50)/(L52-L51)),3),"")</f>
        <v/>
      </c>
      <c r="M54" s="113"/>
      <c r="N54" s="113"/>
      <c r="O54" s="18"/>
      <c r="Q54" s="100" t="s">
        <v>119</v>
      </c>
      <c r="R54" s="100"/>
      <c r="S54" s="105"/>
      <c r="T54" s="105"/>
      <c r="U54" s="105"/>
      <c r="V54" s="114" t="e">
        <f>IF(OR($V$38="",S54=""),"",(ROUND(100-((S54/$V$38)*100),1)))</f>
        <v>#VALUE!</v>
      </c>
      <c r="W54" s="114"/>
      <c r="X54" s="107"/>
      <c r="Y54" s="107"/>
      <c r="Z54" s="100"/>
      <c r="AA54" s="100"/>
      <c r="AB54" s="100"/>
      <c r="AC54" s="100"/>
    </row>
    <row r="55" spans="2:41" ht="13.15" customHeight="1" x14ac:dyDescent="0.25">
      <c r="B55" s="1"/>
      <c r="C55" s="30" t="s">
        <v>120</v>
      </c>
      <c r="D55" s="18"/>
      <c r="E55" s="18"/>
      <c r="F55" s="18"/>
      <c r="G55" s="18"/>
      <c r="H55" s="18"/>
      <c r="I55" s="99" t="str">
        <f>IF(L47="","",IF(L47="LEVELING","N/A",IF(OR(L54&gt;0.02,O79&gt;0,L52&lt;=0,AA22&lt;=0),"",ROUND(100*L53/AA22,1))))</f>
        <v/>
      </c>
      <c r="J55" s="99"/>
      <c r="K55" s="99"/>
      <c r="L55" s="98" t="str">
        <f>IF(L52&gt;0,IF(L54&gt;0.02,"PARAFFIN","N/A"),"")</f>
        <v/>
      </c>
      <c r="M55" s="98"/>
      <c r="N55" s="98"/>
      <c r="O55" s="18"/>
      <c r="Q55" s="38" t="s">
        <v>121</v>
      </c>
      <c r="R55" s="39"/>
      <c r="S55" s="39"/>
      <c r="T55" s="39"/>
      <c r="U55" s="39"/>
      <c r="V55" s="127" t="e">
        <f>ROUND(V54/(AJ43),2)</f>
        <v>#VALUE!</v>
      </c>
      <c r="W55" s="128"/>
      <c r="X55" s="118" t="s">
        <v>143</v>
      </c>
      <c r="Y55" s="119"/>
      <c r="Z55" s="119"/>
      <c r="AA55" s="119"/>
      <c r="AB55" s="119"/>
      <c r="AC55" s="120"/>
    </row>
    <row r="56" spans="2:41" ht="11.45" customHeight="1" x14ac:dyDescent="0.25">
      <c r="B56" s="1"/>
      <c r="C56" s="18"/>
      <c r="D56" s="40"/>
      <c r="E56" s="40"/>
      <c r="F56" s="40"/>
      <c r="G56" s="40"/>
      <c r="H56" s="40"/>
      <c r="I56" s="40"/>
      <c r="J56" s="40"/>
      <c r="K56" s="40"/>
      <c r="L56" s="40"/>
      <c r="M56" s="18"/>
      <c r="N56" s="18"/>
      <c r="O56" s="18"/>
      <c r="P56" s="40"/>
      <c r="Q56" s="40"/>
      <c r="R56" s="40"/>
      <c r="S56" s="40"/>
      <c r="T56" s="40"/>
      <c r="U56" s="40"/>
      <c r="V56" s="18"/>
      <c r="W56" s="18"/>
      <c r="X56" s="40"/>
      <c r="Y56" s="40"/>
      <c r="Z56" s="40"/>
      <c r="AA56" s="40"/>
      <c r="AB56" s="40"/>
      <c r="AC56" s="40"/>
      <c r="AD56" s="18"/>
    </row>
    <row r="57" spans="2:41" ht="10.9" customHeight="1" x14ac:dyDescent="0.25">
      <c r="B57" s="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19"/>
      <c r="N57" s="18"/>
      <c r="O57" s="18"/>
      <c r="P57" s="18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2:41" ht="18" x14ac:dyDescent="0.25">
      <c r="C58" s="41" t="s">
        <v>122</v>
      </c>
      <c r="P58" s="42"/>
      <c r="Q58" s="42"/>
      <c r="R58" s="42"/>
      <c r="S58" s="42"/>
      <c r="T58" s="42"/>
      <c r="U58" s="42"/>
      <c r="AB58" s="32" t="s">
        <v>123</v>
      </c>
    </row>
    <row r="59" spans="2:41" ht="15.75" x14ac:dyDescent="0.25">
      <c r="C59" s="43" t="s">
        <v>1</v>
      </c>
      <c r="I59" s="5"/>
      <c r="J59" s="129"/>
      <c r="K59" s="129"/>
      <c r="L59" s="44"/>
      <c r="M59" s="44"/>
      <c r="N59" s="6"/>
      <c r="O59" s="6"/>
      <c r="P59" s="6"/>
      <c r="Q59" s="6"/>
      <c r="R59" s="6"/>
      <c r="S59" s="6"/>
      <c r="T59" s="6"/>
    </row>
    <row r="60" spans="2:41" x14ac:dyDescent="0.25">
      <c r="C60" s="45" t="str">
        <f>C2</f>
        <v>Testing Firm Name</v>
      </c>
      <c r="F60" s="45"/>
      <c r="V60" s="1"/>
      <c r="W60" s="1"/>
      <c r="X60" s="1"/>
      <c r="Y60" s="7" t="s">
        <v>5</v>
      </c>
      <c r="Z60" s="112">
        <f>Z5</f>
        <v>0</v>
      </c>
      <c r="AA60" s="112"/>
      <c r="AB60" s="6" t="s">
        <v>6</v>
      </c>
      <c r="AC60" s="1"/>
    </row>
    <row r="61" spans="2:41" x14ac:dyDescent="0.25">
      <c r="C61" s="45"/>
      <c r="D61" s="26"/>
      <c r="E61" s="26"/>
      <c r="F61" s="45"/>
      <c r="H61" s="26"/>
      <c r="I61" s="26"/>
      <c r="V61" s="1"/>
      <c r="W61" s="1"/>
      <c r="X61" s="1"/>
      <c r="Y61" s="7"/>
      <c r="Z61" s="46"/>
      <c r="AA61" s="46"/>
      <c r="AB61" s="6"/>
      <c r="AC61" s="1"/>
    </row>
    <row r="62" spans="2:41" x14ac:dyDescent="0.25">
      <c r="C62" s="10" t="s">
        <v>7</v>
      </c>
      <c r="D62" s="11"/>
      <c r="E62" s="11"/>
      <c r="F62" s="11"/>
      <c r="G62" s="11"/>
      <c r="H62" s="11"/>
      <c r="I62" s="11"/>
      <c r="J62" s="11"/>
      <c r="K62" s="11"/>
      <c r="L62" s="12" t="s">
        <v>8</v>
      </c>
      <c r="M62" s="54">
        <f>M7</f>
        <v>0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11"/>
    </row>
    <row r="63" spans="2:41" x14ac:dyDescent="0.25">
      <c r="C63" s="14" t="s">
        <v>9</v>
      </c>
      <c r="D63" s="14"/>
      <c r="E63" s="14"/>
      <c r="F63" s="56">
        <f>F8</f>
        <v>0</v>
      </c>
      <c r="G63" s="56"/>
      <c r="H63" s="56"/>
      <c r="I63" s="47" t="s">
        <v>10</v>
      </c>
      <c r="J63" s="15"/>
      <c r="K63" s="58">
        <f>K8</f>
        <v>0</v>
      </c>
      <c r="L63" s="58"/>
      <c r="M63" s="58"/>
      <c r="N63" s="58"/>
      <c r="O63" s="58"/>
      <c r="P63" s="58"/>
      <c r="Q63" s="58"/>
      <c r="R63" s="16"/>
      <c r="S63" s="15" t="s">
        <v>11</v>
      </c>
      <c r="T63" s="55">
        <f>T8</f>
        <v>0</v>
      </c>
      <c r="U63" s="16"/>
      <c r="V63" s="15" t="s">
        <v>12</v>
      </c>
      <c r="W63" s="55">
        <f>W8</f>
        <v>0</v>
      </c>
      <c r="X63" s="1"/>
      <c r="Y63" s="15" t="s">
        <v>13</v>
      </c>
      <c r="Z63" s="59">
        <f>Z8</f>
        <v>0</v>
      </c>
      <c r="AA63" s="59"/>
      <c r="AB63" s="59"/>
      <c r="AC63" s="59"/>
      <c r="AD63" s="9"/>
    </row>
    <row r="64" spans="2:41" x14ac:dyDescent="0.25">
      <c r="C64" s="14" t="s">
        <v>14</v>
      </c>
      <c r="D64" s="14"/>
      <c r="E64" s="14"/>
      <c r="F64" s="57">
        <f>F9</f>
        <v>0</v>
      </c>
      <c r="G64" s="57"/>
      <c r="H64" s="57"/>
      <c r="AD64" s="9"/>
    </row>
    <row r="65" spans="3:30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7" spans="3:30" x14ac:dyDescent="0.25">
      <c r="C67" s="68" t="s">
        <v>124</v>
      </c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3:30" x14ac:dyDescent="0.25">
      <c r="C68" s="47" t="s">
        <v>20</v>
      </c>
      <c r="D68" s="9"/>
      <c r="E68" s="9"/>
      <c r="F68" s="125" t="s">
        <v>21</v>
      </c>
      <c r="G68" s="125"/>
      <c r="H68" s="125"/>
      <c r="I68" s="125"/>
      <c r="J68" s="125"/>
      <c r="K68" s="125"/>
      <c r="L68" s="125"/>
      <c r="M68" s="125"/>
      <c r="N68" s="125"/>
    </row>
    <row r="69" spans="3:30" x14ac:dyDescent="0.25">
      <c r="C69" s="47" t="s">
        <v>22</v>
      </c>
      <c r="D69" s="9"/>
      <c r="E69" s="9"/>
      <c r="F69" s="47"/>
      <c r="G69" s="126" t="s">
        <v>21</v>
      </c>
      <c r="H69" s="126"/>
      <c r="I69" s="126"/>
      <c r="J69" s="126"/>
      <c r="K69" s="47"/>
      <c r="L69" s="15" t="s">
        <v>23</v>
      </c>
      <c r="M69" s="126"/>
      <c r="N69" s="126"/>
    </row>
    <row r="71" spans="3:30" x14ac:dyDescent="0.25">
      <c r="C71" s="47" t="s">
        <v>103</v>
      </c>
      <c r="D71" s="9"/>
      <c r="E71" s="9"/>
      <c r="F71" s="9"/>
      <c r="G71" s="121"/>
      <c r="H71" s="121"/>
      <c r="I71" s="121"/>
      <c r="J71" s="47"/>
      <c r="K71" s="15" t="s">
        <v>104</v>
      </c>
      <c r="L71" s="110"/>
      <c r="M71" s="110"/>
      <c r="N71" s="110"/>
    </row>
    <row r="72" spans="3:30" x14ac:dyDescent="0.25">
      <c r="C72" s="47" t="s">
        <v>106</v>
      </c>
      <c r="D72" s="9"/>
      <c r="E72" s="9"/>
      <c r="F72" s="9"/>
      <c r="G72" s="121"/>
      <c r="H72" s="121"/>
      <c r="I72" s="121"/>
      <c r="J72" s="121"/>
      <c r="K72" s="121"/>
      <c r="L72" s="121"/>
      <c r="M72" s="121"/>
      <c r="N72" s="121"/>
    </row>
    <row r="73" spans="3:30" x14ac:dyDescent="0.25">
      <c r="C73" s="47" t="s">
        <v>108</v>
      </c>
      <c r="D73" s="9"/>
      <c r="E73" s="9"/>
      <c r="F73" s="9"/>
      <c r="G73" s="122"/>
      <c r="H73" s="122"/>
      <c r="I73" s="122"/>
      <c r="J73" s="9"/>
      <c r="K73" s="9"/>
    </row>
    <row r="74" spans="3:30" x14ac:dyDescent="0.25">
      <c r="C74" s="19"/>
      <c r="D74" s="18"/>
      <c r="E74" s="18"/>
      <c r="F74" s="18"/>
      <c r="G74" s="48"/>
      <c r="H74" s="48"/>
      <c r="I74" s="48"/>
      <c r="J74" s="18"/>
      <c r="K74" s="18"/>
    </row>
    <row r="75" spans="3:30" x14ac:dyDescent="0.25">
      <c r="M75" s="19"/>
      <c r="N75" s="49" t="s">
        <v>125</v>
      </c>
      <c r="O75" s="117" t="str">
        <f>AA22</f>
        <v/>
      </c>
      <c r="P75" s="117"/>
      <c r="Q75" s="117"/>
    </row>
    <row r="76" spans="3:30" x14ac:dyDescent="0.25">
      <c r="C76" s="19" t="s">
        <v>110</v>
      </c>
      <c r="D76" s="18"/>
      <c r="E76" s="18"/>
      <c r="F76" s="18"/>
      <c r="G76" s="18"/>
      <c r="H76" s="18"/>
      <c r="I76" s="18"/>
      <c r="J76" s="18"/>
      <c r="K76" s="18"/>
      <c r="O76" s="123"/>
      <c r="P76" s="123"/>
      <c r="Q76" s="123"/>
    </row>
    <row r="77" spans="3:30" x14ac:dyDescent="0.25">
      <c r="C77" s="19" t="s">
        <v>126</v>
      </c>
      <c r="O77" s="124"/>
      <c r="P77" s="124"/>
      <c r="Q77" s="124"/>
    </row>
    <row r="78" spans="3:30" x14ac:dyDescent="0.25">
      <c r="C78" s="19" t="s">
        <v>127</v>
      </c>
      <c r="O78" s="124"/>
      <c r="P78" s="124"/>
      <c r="Q78" s="124"/>
    </row>
    <row r="79" spans="3:30" x14ac:dyDescent="0.25">
      <c r="C79" s="19" t="s">
        <v>128</v>
      </c>
      <c r="O79" s="115"/>
      <c r="P79" s="115"/>
      <c r="Q79" s="115"/>
      <c r="T79" s="52">
        <f>IF(L54&gt;0.02,O79,"")</f>
        <v>0</v>
      </c>
    </row>
    <row r="80" spans="3:30" x14ac:dyDescent="0.25">
      <c r="C80" s="19" t="s">
        <v>116</v>
      </c>
      <c r="D80" s="18"/>
      <c r="E80" s="18"/>
      <c r="F80" s="18"/>
      <c r="G80" s="18"/>
      <c r="H80" s="18"/>
      <c r="I80" s="18"/>
      <c r="J80" s="18"/>
      <c r="K80" s="18"/>
      <c r="O80" s="116" t="str">
        <f>IF(O78="","",IF(ISERR(O76/((O77-O78)-((O77-O76)/T79))),"",ROUND((O76/((O77-O78)-((O77-O76)/T79))),3)))</f>
        <v/>
      </c>
      <c r="P80" s="116"/>
      <c r="Q80" s="116"/>
    </row>
    <row r="81" spans="3:19" x14ac:dyDescent="0.25">
      <c r="C81" s="19"/>
      <c r="D81" s="18"/>
      <c r="E81" s="18"/>
      <c r="F81" s="18"/>
      <c r="G81" s="18"/>
      <c r="H81" s="18"/>
      <c r="I81" s="18"/>
      <c r="J81" s="18"/>
      <c r="K81" s="18"/>
      <c r="Q81" s="50"/>
      <c r="R81" s="50"/>
    </row>
    <row r="82" spans="3:19" x14ac:dyDescent="0.25">
      <c r="I82" s="30" t="s">
        <v>120</v>
      </c>
      <c r="J82" s="18"/>
      <c r="K82" s="18"/>
      <c r="L82" s="18"/>
      <c r="M82" s="18"/>
      <c r="N82" s="18"/>
      <c r="O82" s="99" t="str">
        <f>IF(L55="N/A",L55,IF(ISERR(O80/O75),"",IF(AND(O78&gt;0,T79&gt;0),ROUND(100*(O80/O75),1),I55)))</f>
        <v/>
      </c>
      <c r="P82" s="99"/>
      <c r="Q82" s="99"/>
    </row>
    <row r="83" spans="3:19" x14ac:dyDescent="0.25">
      <c r="S83" s="50"/>
    </row>
    <row r="124" spans="3:13" x14ac:dyDescent="0.25">
      <c r="C124" t="s">
        <v>129</v>
      </c>
      <c r="G124" t="s">
        <v>130</v>
      </c>
      <c r="I124" t="s">
        <v>131</v>
      </c>
      <c r="M124" s="31">
        <f>W19-W20</f>
        <v>0</v>
      </c>
    </row>
    <row r="125" spans="3:13" x14ac:dyDescent="0.25">
      <c r="C125" t="s">
        <v>132</v>
      </c>
      <c r="G125" t="s">
        <v>133</v>
      </c>
      <c r="I125" t="s">
        <v>134</v>
      </c>
      <c r="M125" s="31">
        <f>W18-W20</f>
        <v>0</v>
      </c>
    </row>
    <row r="126" spans="3:13" x14ac:dyDescent="0.25">
      <c r="I126" t="s">
        <v>135</v>
      </c>
    </row>
  </sheetData>
  <sheetProtection algorithmName="SHA-512" hashValue="Bt+nf3cDCkDznHyJ4d+AH1vn7KotvQrk6/14888RJa2k6shL5Fmxitx1XQp7/j03fT4+5fnONoYFKb+ccmqoaQ==" saltValue="PjbROLEEPEl8tAeFeTLvow==" spinCount="100000" sheet="1" selectLockedCells="1" autoFilter="0"/>
  <mergeCells count="228">
    <mergeCell ref="AH52:AI52"/>
    <mergeCell ref="AF52:AG52"/>
    <mergeCell ref="AG53:AH53"/>
    <mergeCell ref="AK52:AL52"/>
    <mergeCell ref="AN52:AO52"/>
    <mergeCell ref="AJ41:AK41"/>
    <mergeCell ref="AJ42:AK42"/>
    <mergeCell ref="AJ43:AK43"/>
    <mergeCell ref="O79:Q79"/>
    <mergeCell ref="O80:Q80"/>
    <mergeCell ref="O82:Q82"/>
    <mergeCell ref="L46:N46"/>
    <mergeCell ref="X55:AC55"/>
    <mergeCell ref="L22:N22"/>
    <mergeCell ref="G72:N72"/>
    <mergeCell ref="G73:I73"/>
    <mergeCell ref="O75:Q75"/>
    <mergeCell ref="O76:Q76"/>
    <mergeCell ref="O77:Q77"/>
    <mergeCell ref="O78:Q78"/>
    <mergeCell ref="C67:S67"/>
    <mergeCell ref="F68:N68"/>
    <mergeCell ref="G69:J69"/>
    <mergeCell ref="M69:N69"/>
    <mergeCell ref="G71:I71"/>
    <mergeCell ref="L71:N71"/>
    <mergeCell ref="I55:K55"/>
    <mergeCell ref="L55:N55"/>
    <mergeCell ref="V55:W55"/>
    <mergeCell ref="J59:K59"/>
    <mergeCell ref="L36:N36"/>
    <mergeCell ref="Z60:AA60"/>
    <mergeCell ref="AB53:AC53"/>
    <mergeCell ref="L54:N54"/>
    <mergeCell ref="Q54:R54"/>
    <mergeCell ref="S54:U54"/>
    <mergeCell ref="V54:W54"/>
    <mergeCell ref="X54:Y54"/>
    <mergeCell ref="Z54:AA54"/>
    <mergeCell ref="AB54:AC54"/>
    <mergeCell ref="L53:N53"/>
    <mergeCell ref="Q53:R53"/>
    <mergeCell ref="S53:U53"/>
    <mergeCell ref="V53:W53"/>
    <mergeCell ref="X53:Y53"/>
    <mergeCell ref="Z53:AA53"/>
    <mergeCell ref="AB51:AC51"/>
    <mergeCell ref="L52:N52"/>
    <mergeCell ref="Q52:R52"/>
    <mergeCell ref="S52:U52"/>
    <mergeCell ref="V52:W52"/>
    <mergeCell ref="X52:Y52"/>
    <mergeCell ref="Z52:AA52"/>
    <mergeCell ref="AB52:AC52"/>
    <mergeCell ref="L51:N51"/>
    <mergeCell ref="Q51:R51"/>
    <mergeCell ref="S51:U51"/>
    <mergeCell ref="V51:W51"/>
    <mergeCell ref="X51:Y51"/>
    <mergeCell ref="Z51:AA51"/>
    <mergeCell ref="AB49:AC49"/>
    <mergeCell ref="L50:N50"/>
    <mergeCell ref="Q50:R50"/>
    <mergeCell ref="S50:U50"/>
    <mergeCell ref="V50:W50"/>
    <mergeCell ref="X50:Y50"/>
    <mergeCell ref="Z50:AA50"/>
    <mergeCell ref="AB50:AC50"/>
    <mergeCell ref="L49:N49"/>
    <mergeCell ref="Q49:R49"/>
    <mergeCell ref="S49:U49"/>
    <mergeCell ref="V49:W49"/>
    <mergeCell ref="X49:Y49"/>
    <mergeCell ref="Z49:AA49"/>
    <mergeCell ref="Z47:AA47"/>
    <mergeCell ref="AB47:AC47"/>
    <mergeCell ref="G48:N48"/>
    <mergeCell ref="Q48:R48"/>
    <mergeCell ref="S48:U48"/>
    <mergeCell ref="V48:W48"/>
    <mergeCell ref="X48:Y48"/>
    <mergeCell ref="Z48:AA48"/>
    <mergeCell ref="AB48:AC48"/>
    <mergeCell ref="G47:I47"/>
    <mergeCell ref="L47:N47"/>
    <mergeCell ref="Q47:R47"/>
    <mergeCell ref="S47:U47"/>
    <mergeCell ref="V47:W47"/>
    <mergeCell ref="X47:Y47"/>
    <mergeCell ref="Z45:AA45"/>
    <mergeCell ref="AB45:AC45"/>
    <mergeCell ref="Q46:R46"/>
    <mergeCell ref="S46:U46"/>
    <mergeCell ref="V46:W46"/>
    <mergeCell ref="X46:Y46"/>
    <mergeCell ref="Z46:AA46"/>
    <mergeCell ref="AB46:AC46"/>
    <mergeCell ref="G45:J45"/>
    <mergeCell ref="M45:N45"/>
    <mergeCell ref="Q45:R45"/>
    <mergeCell ref="S45:U45"/>
    <mergeCell ref="V45:W45"/>
    <mergeCell ref="X45:Y45"/>
    <mergeCell ref="Q42:R42"/>
    <mergeCell ref="S42:U42"/>
    <mergeCell ref="V42:W42"/>
    <mergeCell ref="X42:Y42"/>
    <mergeCell ref="Z42:AA42"/>
    <mergeCell ref="AB42:AC42"/>
    <mergeCell ref="AB43:AC43"/>
    <mergeCell ref="F44:N44"/>
    <mergeCell ref="Q44:R44"/>
    <mergeCell ref="S44:U44"/>
    <mergeCell ref="V44:W44"/>
    <mergeCell ref="X44:Y44"/>
    <mergeCell ref="Z44:AA44"/>
    <mergeCell ref="AB44:AC44"/>
    <mergeCell ref="C43:N43"/>
    <mergeCell ref="Q43:R43"/>
    <mergeCell ref="S43:U43"/>
    <mergeCell ref="V43:W43"/>
    <mergeCell ref="X43:Y43"/>
    <mergeCell ref="Z43:AA43"/>
    <mergeCell ref="I40:K40"/>
    <mergeCell ref="L40:N40"/>
    <mergeCell ref="I41:K41"/>
    <mergeCell ref="L41:N41"/>
    <mergeCell ref="Q41:R41"/>
    <mergeCell ref="S41:U41"/>
    <mergeCell ref="P36:AD36"/>
    <mergeCell ref="L37:N37"/>
    <mergeCell ref="V37:X37"/>
    <mergeCell ref="L38:N38"/>
    <mergeCell ref="V38:X38"/>
    <mergeCell ref="L39:N39"/>
    <mergeCell ref="V39:X39"/>
    <mergeCell ref="V41:W41"/>
    <mergeCell ref="X41:Y41"/>
    <mergeCell ref="Z41:AA41"/>
    <mergeCell ref="AB41:AC41"/>
    <mergeCell ref="L33:N33"/>
    <mergeCell ref="W33:Y33"/>
    <mergeCell ref="AA33:AC33"/>
    <mergeCell ref="L34:N34"/>
    <mergeCell ref="AA34:AC34"/>
    <mergeCell ref="L35:N35"/>
    <mergeCell ref="L30:N30"/>
    <mergeCell ref="W30:Y30"/>
    <mergeCell ref="AA30:AC30"/>
    <mergeCell ref="W31:Y31"/>
    <mergeCell ref="AA31:AC31"/>
    <mergeCell ref="C32:N32"/>
    <mergeCell ref="W32:Y32"/>
    <mergeCell ref="AA32:AC32"/>
    <mergeCell ref="L27:N27"/>
    <mergeCell ref="W27:Y27"/>
    <mergeCell ref="L28:N28"/>
    <mergeCell ref="W28:Y28"/>
    <mergeCell ref="AA28:AC28"/>
    <mergeCell ref="L29:N29"/>
    <mergeCell ref="W29:Y29"/>
    <mergeCell ref="AA29:AC29"/>
    <mergeCell ref="P24:AD24"/>
    <mergeCell ref="C25:N25"/>
    <mergeCell ref="S25:AC25"/>
    <mergeCell ref="L26:N26"/>
    <mergeCell ref="T26:Y26"/>
    <mergeCell ref="AB26:AC26"/>
    <mergeCell ref="L23:N23"/>
    <mergeCell ref="AA22:AC22"/>
    <mergeCell ref="L24:N24"/>
    <mergeCell ref="CG18:CH18"/>
    <mergeCell ref="CI18:CJ18"/>
    <mergeCell ref="L19:N19"/>
    <mergeCell ref="W19:Y19"/>
    <mergeCell ref="AA19:AC19"/>
    <mergeCell ref="C20:N20"/>
    <mergeCell ref="W20:Y20"/>
    <mergeCell ref="AA20:AC20"/>
    <mergeCell ref="L18:N18"/>
    <mergeCell ref="W18:Y18"/>
    <mergeCell ref="AA18:AC18"/>
    <mergeCell ref="CA18:CB18"/>
    <mergeCell ref="CC18:CD18"/>
    <mergeCell ref="CE18:CF18"/>
    <mergeCell ref="G14:J14"/>
    <mergeCell ref="M14:N14"/>
    <mergeCell ref="T14:Y14"/>
    <mergeCell ref="AB14:AC14"/>
    <mergeCell ref="C15:N15"/>
    <mergeCell ref="W15:Y15"/>
    <mergeCell ref="AA15:AC15"/>
    <mergeCell ref="L21:N21"/>
    <mergeCell ref="W21:Y21"/>
    <mergeCell ref="AA21:AC21"/>
    <mergeCell ref="M9:N9"/>
    <mergeCell ref="T9:V9"/>
    <mergeCell ref="W9:AA9"/>
    <mergeCell ref="L16:N16"/>
    <mergeCell ref="W16:Y16"/>
    <mergeCell ref="AA16:AC16"/>
    <mergeCell ref="L17:N17"/>
    <mergeCell ref="W17:Y17"/>
    <mergeCell ref="AA17:AC17"/>
    <mergeCell ref="F63:H63"/>
    <mergeCell ref="F64:H64"/>
    <mergeCell ref="K63:Q63"/>
    <mergeCell ref="Z63:AC63"/>
    <mergeCell ref="C2:U2"/>
    <mergeCell ref="C3:U3"/>
    <mergeCell ref="J4:L4"/>
    <mergeCell ref="P4:Q4"/>
    <mergeCell ref="Z4:AA4"/>
    <mergeCell ref="M7:AC7"/>
    <mergeCell ref="AB9:AC9"/>
    <mergeCell ref="C10:AD10"/>
    <mergeCell ref="C11:AD11"/>
    <mergeCell ref="C12:N12"/>
    <mergeCell ref="P12:AD12"/>
    <mergeCell ref="F13:N13"/>
    <mergeCell ref="S13:AC13"/>
    <mergeCell ref="C8:E8"/>
    <mergeCell ref="F8:H8"/>
    <mergeCell ref="I8:J8"/>
    <mergeCell ref="K8:Q8"/>
    <mergeCell ref="Z8:AC8"/>
    <mergeCell ref="C9:E9"/>
    <mergeCell ref="F9:H9"/>
  </mergeCells>
  <conditionalFormatting sqref="L54:N54">
    <cfRule type="cellIs" dxfId="4" priority="4" operator="greaterThan">
      <formula>0.02</formula>
    </cfRule>
    <cfRule type="cellIs" dxfId="3" priority="5" operator="greaterThan">
      <formula>2</formula>
    </cfRule>
  </conditionalFormatting>
  <conditionalFormatting sqref="L55:N55">
    <cfRule type="cellIs" dxfId="2" priority="7" operator="equal">
      <formula>"FAIL"</formula>
    </cfRule>
  </conditionalFormatting>
  <conditionalFormatting sqref="P4:Q4">
    <cfRule type="cellIs" dxfId="1" priority="6" operator="equal">
      <formula>"NO"</formula>
    </cfRule>
  </conditionalFormatting>
  <conditionalFormatting sqref="Q81:R81 S83">
    <cfRule type="cellIs" dxfId="0" priority="2" operator="greaterThan">
      <formula>0.02</formula>
    </cfRule>
  </conditionalFormatting>
  <dataValidations count="4">
    <dataValidation type="list" showInputMessage="1" showErrorMessage="1" sqref="L71:N71 L47:N47" xr:uid="{D70B8426-86BB-47D5-9AD4-C5BE65CFEAFF}">
      <formula1>$I$124:$I$127</formula1>
    </dataValidation>
    <dataValidation type="list" allowBlank="1" showInputMessage="1" showErrorMessage="1" sqref="P4:Q4" xr:uid="{ECD6CCCD-2F92-47B8-8F66-19DD342F9FDC}">
      <formula1>$G$124:$G$126</formula1>
    </dataValidation>
    <dataValidation type="list" allowBlank="1" showInputMessage="1" showErrorMessage="1" sqref="L33:N33" xr:uid="{547E7E24-12F9-4485-A350-B255E7503EA7}">
      <formula1>$C$124:$C$126</formula1>
    </dataValidation>
    <dataValidation type="list" showInputMessage="1" showErrorMessage="1" sqref="K8:Q8" xr:uid="{23000FCA-B810-446A-A53F-3DCCFBE2475B}">
      <formula1>$BZ$20:$BZ$31</formula1>
    </dataValidation>
  </dataValidations>
  <pageMargins left="0.25" right="0.25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Contractor</vt:lpstr>
      <vt:lpstr>Contractor!Print_Area</vt:lpstr>
    </vt:vector>
  </TitlesOfParts>
  <Company>ArDOT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Reynolds, Tisha L.</dc:creator>
  <cp:lastModifiedBy>Reynolds, Tisha L.</cp:lastModifiedBy>
  <cp:lastPrinted>2024-04-19T05:53:15Z</cp:lastPrinted>
  <dcterms:created xsi:type="dcterms:W3CDTF">2024-04-15T00:35:20Z</dcterms:created>
  <dcterms:modified xsi:type="dcterms:W3CDTF">2024-05-25T13:46:53Z</dcterms:modified>
</cp:coreProperties>
</file>